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20" windowHeight="5900" tabRatio="794" activeTab="1"/>
  </bookViews>
  <sheets>
    <sheet name="lista di qualificazione" sheetId="1" r:id="rId1"/>
    <sheet name="gironi" sheetId="2" r:id="rId2"/>
    <sheet name="referti girone" sheetId="3" r:id="rId3"/>
    <sheet name="tabellone eliminazione" sheetId="4" r:id="rId4"/>
    <sheet name="referti tabellone" sheetId="5" r:id="rId5"/>
    <sheet name="Classifica a punti" sheetId="6" r:id="rId6"/>
  </sheets>
  <definedNames>
    <definedName name="_xlfn.SINGLE" hidden="1">#NAME?</definedName>
    <definedName name="_xlnm.Print_Area" localSheetId="1">'gironi'!$A$1:$AR$31</definedName>
    <definedName name="_xlnm.Print_Area" localSheetId="2">'referti girone'!$B$1:$Y$40</definedName>
    <definedName name="_xlnm.Print_Area" localSheetId="3">'tabellone eliminazione'!$AB$1:$AT$28</definedName>
  </definedNames>
  <calcPr fullCalcOnLoad="1"/>
</workbook>
</file>

<file path=xl/sharedStrings.xml><?xml version="1.0" encoding="utf-8"?>
<sst xmlns="http://schemas.openxmlformats.org/spreadsheetml/2006/main" count="439" uniqueCount="118">
  <si>
    <t>Centro Sportivo Italiano</t>
  </si>
  <si>
    <t>Commissione Tecnica Nazionale</t>
  </si>
  <si>
    <t>partite vinte</t>
  </si>
  <si>
    <t>partite perse</t>
  </si>
  <si>
    <t>set</t>
  </si>
  <si>
    <t>punti</t>
  </si>
  <si>
    <t>PART 1</t>
  </si>
  <si>
    <t>PART.2</t>
  </si>
  <si>
    <t>PART.3</t>
  </si>
  <si>
    <t>PUNTI classifica</t>
  </si>
  <si>
    <t>diff set</t>
  </si>
  <si>
    <t>punti vinti</t>
  </si>
  <si>
    <t>punti persi</t>
  </si>
  <si>
    <t>diff punti</t>
  </si>
  <si>
    <t>Giocatori</t>
  </si>
  <si>
    <t>Classifica</t>
  </si>
  <si>
    <t>Partita N° 1</t>
  </si>
  <si>
    <t>Partita N° 2</t>
  </si>
  <si>
    <t>Partita N° 3</t>
  </si>
  <si>
    <t>A</t>
  </si>
  <si>
    <t>B</t>
  </si>
  <si>
    <t>C</t>
  </si>
  <si>
    <t>1°</t>
  </si>
  <si>
    <t>2°</t>
  </si>
  <si>
    <t>3°</t>
  </si>
  <si>
    <t>4°</t>
  </si>
  <si>
    <t>5°</t>
  </si>
  <si>
    <t>Risultato</t>
  </si>
  <si>
    <t>Primo classificato</t>
  </si>
  <si>
    <t>Secondo classificato</t>
  </si>
  <si>
    <t>Arbitro</t>
  </si>
  <si>
    <t>Vincitore</t>
  </si>
  <si>
    <t>-</t>
  </si>
  <si>
    <t>Giocatore</t>
  </si>
  <si>
    <t>Punti</t>
  </si>
  <si>
    <t>PV</t>
  </si>
  <si>
    <t>PP</t>
  </si>
  <si>
    <t>Diff. Punti</t>
  </si>
  <si>
    <t>1° set</t>
  </si>
  <si>
    <t>2° set</t>
  </si>
  <si>
    <t>3° set</t>
  </si>
  <si>
    <t>4° set</t>
  </si>
  <si>
    <t>5° set</t>
  </si>
  <si>
    <t>ris.</t>
  </si>
  <si>
    <t>V</t>
  </si>
  <si>
    <t>P</t>
  </si>
  <si>
    <t>SV</t>
  </si>
  <si>
    <t>SP</t>
  </si>
  <si>
    <t>Incontri</t>
  </si>
  <si>
    <t>Funzioni Partite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</si>
  <si>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</si>
  <si>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</si>
  <si>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</si>
  <si>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</si>
  <si>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</si>
  <si>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6° in Classifica Generale</t>
  </si>
  <si>
    <t>SEMIFINALI</t>
  </si>
  <si>
    <t>FINALISSIMA</t>
  </si>
  <si>
    <t>ELENCO PARTITE</t>
  </si>
  <si>
    <t>SEMIFINALE</t>
  </si>
  <si>
    <t>FINALE</t>
  </si>
  <si>
    <t>Semifinale N° 1</t>
  </si>
  <si>
    <t>Semifinale N° 2</t>
  </si>
  <si>
    <t>Finale 1 / 2° Posto</t>
  </si>
  <si>
    <t>CLASSIFICA A PUNTI</t>
  </si>
  <si>
    <t>Tav.</t>
  </si>
  <si>
    <t>Ora</t>
  </si>
  <si>
    <t>Tavolo</t>
  </si>
  <si>
    <t>Girone 1</t>
  </si>
  <si>
    <t>Girone 2</t>
  </si>
  <si>
    <t>conta set</t>
  </si>
  <si>
    <t>set 1</t>
  </si>
  <si>
    <t>set 2</t>
  </si>
  <si>
    <t>set 3</t>
  </si>
  <si>
    <t>set 4</t>
  </si>
  <si>
    <t>set 5</t>
  </si>
  <si>
    <t>conta VC</t>
  </si>
  <si>
    <t>conta pc</t>
  </si>
  <si>
    <t>qualificati</t>
  </si>
  <si>
    <t>7° in Classifica Generale</t>
  </si>
  <si>
    <t>8° in Classifica Generale</t>
  </si>
  <si>
    <t>Funzioni Classifica</t>
  </si>
  <si>
    <t>Tav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</si>
  <si>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</si>
  <si>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</si>
  <si>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</si>
  <si>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</si>
  <si>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</si>
  <si>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</si>
  <si>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</si>
  <si>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</si>
  <si>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</si>
  <si>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</si>
  <si>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</si>
  <si>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TOTALE</t>
  </si>
  <si>
    <t>tot 2° cla</t>
  </si>
  <si>
    <t>tot 3° cla</t>
  </si>
  <si>
    <t>tot 4° cla</t>
  </si>
  <si>
    <t>D</t>
  </si>
  <si>
    <t>E</t>
  </si>
  <si>
    <t>Terzo Classificato</t>
  </si>
  <si>
    <t>Quarto classificato</t>
  </si>
  <si>
    <t>F</t>
  </si>
  <si>
    <t>Partita N° 4</t>
  </si>
  <si>
    <t>Partita N° 5</t>
  </si>
  <si>
    <t>Partita N° 6</t>
  </si>
  <si>
    <t>Pos.</t>
  </si>
  <si>
    <t>punti clas</t>
  </si>
  <si>
    <t>set vinti</t>
  </si>
  <si>
    <t>Cat. UNDER 13 M</t>
  </si>
  <si>
    <t>Buzzoni Nicolò   -   Pol. Oratorio Pian Camuno A.S.D.</t>
  </si>
  <si>
    <t>Fanchini Cristian   -   Pol. Oratorio Pian Camuno A.S.D.</t>
  </si>
  <si>
    <t>Tempini Lorenzo   -   Pol. Oratorio Pian Camuno A.S.D.</t>
  </si>
  <si>
    <t>Ottelli Daniel   -   Pol. Oratorio Pian Camuno A.S.D.</t>
  </si>
  <si>
    <t>Bettelli Simone   -   Tennis Tavolo Coniolo</t>
  </si>
  <si>
    <t>Mineo Marco   -   Tennis Tavolo Coniolo</t>
  </si>
  <si>
    <t>Loda Giorgio   -   Tennis Tavolo Coniolo</t>
  </si>
  <si>
    <t>Lazzaroni Mathias   -   Tennis Tavolo Coniolo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</si>
</sst>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Comic Sans MS"/>
      <family val="4"/>
    </font>
    <font>
      <b/>
      <sz val="14"/>
      <name val="Berlin Sans FB Demi"/>
      <family val="2"/>
    </font>
    <font>
      <b/>
      <sz val="12"/>
      <name val="Berlin Sans FB Demi"/>
      <family val="2"/>
    </font>
    <font>
      <sz val="9"/>
      <name val="Arial"/>
      <family val="2"/>
    </font>
    <font>
      <b/>
      <sz val="18"/>
      <name val="Arial Black"/>
      <family val="2"/>
    </font>
    <font>
      <b/>
      <sz val="9"/>
      <name val="Arial"/>
      <family val="2"/>
    </font>
    <font>
      <b/>
      <sz val="16"/>
      <name val="Comic Sans MS"/>
      <family val="4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vertical="center" shrinkToFit="1"/>
      <protection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1" fontId="0" fillId="34" borderId="14" xfId="0" applyNumberFormat="1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1" fontId="0" fillId="0" borderId="43" xfId="0" applyNumberFormat="1" applyFill="1" applyBorder="1" applyAlignment="1" applyProtection="1">
      <alignment horizontal="center" vertical="center"/>
      <protection/>
    </xf>
    <xf numFmtId="1" fontId="0" fillId="0" borderId="31" xfId="0" applyNumberFormat="1" applyFill="1" applyBorder="1" applyAlignment="1" applyProtection="1">
      <alignment horizontal="center" vertical="center"/>
      <protection/>
    </xf>
    <xf numFmtId="1" fontId="0" fillId="0" borderId="44" xfId="0" applyNumberForma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5" fillId="36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50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38" borderId="23" xfId="0" applyFill="1" applyBorder="1" applyAlignment="1" applyProtection="1">
      <alignment vertical="center"/>
      <protection locked="0"/>
    </xf>
    <xf numFmtId="0" fontId="0" fillId="39" borderId="23" xfId="0" applyFill="1" applyBorder="1" applyAlignment="1" applyProtection="1">
      <alignment vertical="center"/>
      <protection locked="0"/>
    </xf>
    <xf numFmtId="0" fontId="0" fillId="40" borderId="23" xfId="0" applyFill="1" applyBorder="1" applyAlignment="1" applyProtection="1">
      <alignment vertical="center"/>
      <protection locked="0"/>
    </xf>
    <xf numFmtId="0" fontId="0" fillId="40" borderId="56" xfId="0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58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2" fontId="11" fillId="33" borderId="20" xfId="0" applyNumberFormat="1" applyFont="1" applyFill="1" applyBorder="1" applyAlignment="1" applyProtection="1" quotePrefix="1">
      <alignment horizontal="center" vertical="center"/>
      <protection locked="0"/>
    </xf>
    <xf numFmtId="2" fontId="11" fillId="33" borderId="11" xfId="0" applyNumberFormat="1" applyFont="1" applyFill="1" applyBorder="1" applyAlignment="1" applyProtection="1" quotePrefix="1">
      <alignment horizontal="center" vertical="center"/>
      <protection locked="0"/>
    </xf>
    <xf numFmtId="2" fontId="11" fillId="33" borderId="59" xfId="0" applyNumberFormat="1" applyFont="1" applyFill="1" applyBorder="1" applyAlignment="1" applyProtection="1" quotePrefix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/>
    </xf>
    <xf numFmtId="2" fontId="0" fillId="33" borderId="45" xfId="0" applyNumberFormat="1" applyFill="1" applyBorder="1" applyAlignment="1" applyProtection="1">
      <alignment horizontal="center" vertical="center"/>
      <protection locked="0"/>
    </xf>
    <xf numFmtId="2" fontId="0" fillId="33" borderId="23" xfId="0" applyNumberFormat="1" applyFill="1" applyBorder="1" applyAlignment="1" applyProtection="1">
      <alignment horizontal="center" vertical="center"/>
      <protection locked="0"/>
    </xf>
    <xf numFmtId="2" fontId="0" fillId="33" borderId="48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11" fillId="0" borderId="3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5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1" fillId="0" borderId="26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7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180975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257175</xdr:colOff>
      <xdr:row>1</xdr:row>
      <xdr:rowOff>285750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1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38100</xdr:rowOff>
    </xdr:from>
    <xdr:to>
      <xdr:col>2</xdr:col>
      <xdr:colOff>257175</xdr:colOff>
      <xdr:row>11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3528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10</xdr:row>
      <xdr:rowOff>38100</xdr:rowOff>
    </xdr:from>
    <xdr:to>
      <xdr:col>10</xdr:col>
      <xdr:colOff>257175</xdr:colOff>
      <xdr:row>11</xdr:row>
      <xdr:rowOff>285750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33528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10</xdr:row>
      <xdr:rowOff>38100</xdr:rowOff>
    </xdr:from>
    <xdr:to>
      <xdr:col>18</xdr:col>
      <xdr:colOff>257175</xdr:colOff>
      <xdr:row>11</xdr:row>
      <xdr:rowOff>285750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33528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38100</xdr:rowOff>
    </xdr:from>
    <xdr:to>
      <xdr:col>18</xdr:col>
      <xdr:colOff>257175</xdr:colOff>
      <xdr:row>1</xdr:row>
      <xdr:rowOff>285750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381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38100</xdr:rowOff>
    </xdr:from>
    <xdr:to>
      <xdr:col>10</xdr:col>
      <xdr:colOff>257175</xdr:colOff>
      <xdr:row>1</xdr:row>
      <xdr:rowOff>285750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38100"/>
          <a:ext cx="1466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38100</xdr:rowOff>
    </xdr:from>
    <xdr:to>
      <xdr:col>2</xdr:col>
      <xdr:colOff>266700</xdr:colOff>
      <xdr:row>21</xdr:row>
      <xdr:rowOff>266700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6960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38100</xdr:rowOff>
    </xdr:from>
    <xdr:to>
      <xdr:col>2</xdr:col>
      <xdr:colOff>266700</xdr:colOff>
      <xdr:row>31</xdr:row>
      <xdr:rowOff>266700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0107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30</xdr:row>
      <xdr:rowOff>38100</xdr:rowOff>
    </xdr:from>
    <xdr:to>
      <xdr:col>10</xdr:col>
      <xdr:colOff>266700</xdr:colOff>
      <xdr:row>31</xdr:row>
      <xdr:rowOff>266700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0107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30</xdr:row>
      <xdr:rowOff>38100</xdr:rowOff>
    </xdr:from>
    <xdr:to>
      <xdr:col>18</xdr:col>
      <xdr:colOff>266700</xdr:colOff>
      <xdr:row>31</xdr:row>
      <xdr:rowOff>266700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100107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20</xdr:row>
      <xdr:rowOff>38100</xdr:rowOff>
    </xdr:from>
    <xdr:to>
      <xdr:col>18</xdr:col>
      <xdr:colOff>266700</xdr:colOff>
      <xdr:row>21</xdr:row>
      <xdr:rowOff>266700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66960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20</xdr:row>
      <xdr:rowOff>38100</xdr:rowOff>
    </xdr:from>
    <xdr:to>
      <xdr:col>10</xdr:col>
      <xdr:colOff>266700</xdr:colOff>
      <xdr:row>21</xdr:row>
      <xdr:rowOff>266700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696075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790575</xdr:colOff>
      <xdr:row>23</xdr:row>
      <xdr:rowOff>180975</xdr:rowOff>
    </xdr:from>
    <xdr:to>
      <xdr:col>45</xdr:col>
      <xdr:colOff>161925</xdr:colOff>
      <xdr:row>27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7296150"/>
          <a:ext cx="923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228600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266700</xdr:colOff>
      <xdr:row>1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228600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38100</xdr:rowOff>
    </xdr:from>
    <xdr:to>
      <xdr:col>17</xdr:col>
      <xdr:colOff>247650</xdr:colOff>
      <xdr:row>1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38100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38100</xdr:rowOff>
    </xdr:from>
    <xdr:to>
      <xdr:col>9</xdr:col>
      <xdr:colOff>247650</xdr:colOff>
      <xdr:row>1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B4" sqref="B4:B11"/>
    </sheetView>
  </sheetViews>
  <sheetFormatPr defaultColWidth="9.140625" defaultRowHeight="12.75"/>
  <cols>
    <col min="1" max="1" width="4.28125" style="5" customWidth="1"/>
    <col min="2" max="2" width="48.421875" style="15" customWidth="1"/>
    <col min="3" max="3" width="21.57421875" style="15" customWidth="1"/>
    <col min="4" max="16384" width="9.140625" style="15" customWidth="1"/>
  </cols>
  <sheetData>
    <row r="1" spans="1:5" ht="27.75" customHeight="1">
      <c r="A1" s="173" t="s">
        <v>109</v>
      </c>
      <c r="B1" s="173"/>
      <c r="C1" s="173"/>
      <c r="D1" s="14"/>
      <c r="E1" s="14"/>
    </row>
    <row r="3" ht="15" customHeight="1" thickBot="1">
      <c r="B3" s="6" t="s">
        <v>33</v>
      </c>
    </row>
    <row r="4" spans="1:3" ht="15" customHeight="1">
      <c r="A4" s="10">
        <v>1</v>
      </c>
      <c r="B4" s="26" t="s">
        <v>110</v>
      </c>
      <c r="C4" s="23" t="s">
        <v>50</v>
      </c>
    </row>
    <row r="5" spans="1:3" ht="15" customHeight="1">
      <c r="A5" s="11">
        <v>2</v>
      </c>
      <c r="B5" s="27" t="s">
        <v>111</v>
      </c>
      <c r="C5" s="24" t="s">
        <v>51</v>
      </c>
    </row>
    <row r="6" spans="1:3" ht="15" customHeight="1">
      <c r="A6" s="11">
        <v>3</v>
      </c>
      <c r="B6" s="135" t="s">
        <v>112</v>
      </c>
      <c r="C6" s="24" t="s">
        <v>52</v>
      </c>
    </row>
    <row r="7" spans="1:3" ht="15" customHeight="1">
      <c r="A7" s="11">
        <v>4</v>
      </c>
      <c r="B7" s="135" t="s">
        <v>113</v>
      </c>
      <c r="C7" s="24" t="s">
        <v>53</v>
      </c>
    </row>
    <row r="8" spans="1:3" ht="15" customHeight="1">
      <c r="A8" s="11">
        <v>5</v>
      </c>
      <c r="B8" s="136" t="s">
        <v>114</v>
      </c>
      <c r="C8" s="24" t="s">
        <v>54</v>
      </c>
    </row>
    <row r="9" spans="1:3" ht="15" customHeight="1">
      <c r="A9" s="11">
        <v>6</v>
      </c>
      <c r="B9" s="136" t="s">
        <v>115</v>
      </c>
      <c r="C9" s="24" t="s">
        <v>55</v>
      </c>
    </row>
    <row r="10" spans="1:3" ht="15" customHeight="1">
      <c r="A10" s="11">
        <v>7</v>
      </c>
      <c r="B10" s="137" t="s">
        <v>116</v>
      </c>
      <c r="C10" s="24" t="s">
        <v>79</v>
      </c>
    </row>
    <row r="11" spans="1:3" ht="15" customHeight="1" thickBot="1">
      <c r="A11" s="12">
        <v>8</v>
      </c>
      <c r="B11" s="138" t="s">
        <v>117</v>
      </c>
      <c r="C11" s="25" t="s">
        <v>80</v>
      </c>
    </row>
  </sheetData>
  <sheetProtection password="C78D" sheet="1" objects="1" scenario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31"/>
  <sheetViews>
    <sheetView showGridLines="0" tabSelected="1" view="pageBreakPreview" zoomScaleNormal="75" zoomScaleSheetLayoutView="100" zoomScalePageLayoutView="0" workbookViewId="0" topLeftCell="A11">
      <selection activeCell="A20" sqref="A20"/>
    </sheetView>
  </sheetViews>
  <sheetFormatPr defaultColWidth="9.140625" defaultRowHeight="12.75"/>
  <cols>
    <col min="1" max="1" width="5.7109375" style="0" customWidth="1"/>
    <col min="2" max="2" width="5.7109375" style="160" customWidth="1"/>
    <col min="3" max="3" width="2.57421875" style="0" customWidth="1"/>
    <col min="4" max="16" width="1.7109375" style="0" customWidth="1"/>
    <col min="17" max="17" width="3.8515625" style="0" customWidth="1"/>
    <col min="18" max="31" width="1.7109375" style="0" customWidth="1"/>
    <col min="32" max="32" width="3.8515625" style="0" customWidth="1"/>
    <col min="33" max="44" width="2.7109375" style="0" customWidth="1"/>
    <col min="45" max="47" width="2.7109375" style="7" customWidth="1"/>
    <col min="48" max="53" width="10.7109375" style="7" customWidth="1"/>
    <col min="54" max="54" width="6.7109375" style="7" customWidth="1"/>
    <col min="55" max="55" width="10.8515625" style="7" customWidth="1"/>
    <col min="56" max="72" width="6.7109375" style="0" customWidth="1"/>
    <col min="73" max="74" width="11.00390625" style="0" bestFit="1" customWidth="1"/>
    <col min="75" max="81" width="9.28125" style="0" bestFit="1" customWidth="1"/>
  </cols>
  <sheetData>
    <row r="1" spans="1:74" s="13" customFormat="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104"/>
      <c r="AT1" s="104"/>
      <c r="AU1" s="104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</row>
    <row r="2" spans="1:78" s="13" customFormat="1" ht="24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105"/>
      <c r="AT2" s="105"/>
      <c r="AU2" s="105"/>
      <c r="AV2" s="164"/>
      <c r="AW2" s="164"/>
      <c r="BD2" s="15"/>
      <c r="BE2" s="15"/>
      <c r="BF2" s="15"/>
      <c r="BG2" s="15"/>
      <c r="BH2" s="15"/>
      <c r="BI2" s="15"/>
      <c r="BJ2" s="15"/>
      <c r="BK2" s="15"/>
      <c r="BL2" s="15">
        <v>5</v>
      </c>
      <c r="BM2" s="15"/>
      <c r="BN2" s="15">
        <v>100</v>
      </c>
      <c r="BO2" s="15">
        <v>1</v>
      </c>
      <c r="BP2" s="15"/>
      <c r="BQ2" s="15">
        <v>10</v>
      </c>
      <c r="BR2" s="15">
        <v>1000</v>
      </c>
      <c r="BS2" s="15"/>
      <c r="BT2" s="15"/>
      <c r="BU2" s="15"/>
      <c r="BV2" s="15"/>
      <c r="BW2" s="15"/>
      <c r="BX2" s="15"/>
      <c r="BY2" s="15"/>
      <c r="BZ2" s="15"/>
    </row>
    <row r="3" spans="1:85" s="13" customFormat="1" ht="24" customHeight="1">
      <c r="A3" s="223" t="str">
        <f>'lista di qualificazione'!A1</f>
        <v>Cat. UNDER 13 M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 t="s">
        <v>68</v>
      </c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77"/>
      <c r="AJ3" s="77"/>
      <c r="AK3" s="224"/>
      <c r="AL3" s="224"/>
      <c r="AM3" s="224"/>
      <c r="AN3" s="224"/>
      <c r="AO3" s="224"/>
      <c r="AP3" s="224"/>
      <c r="AQ3" s="224"/>
      <c r="AR3" s="224"/>
      <c r="AS3" s="106"/>
      <c r="AT3" s="106"/>
      <c r="AU3" s="106"/>
      <c r="AV3" s="165"/>
      <c r="AW3" s="220" t="s">
        <v>49</v>
      </c>
      <c r="AX3" s="220"/>
      <c r="AY3" s="220"/>
      <c r="AZ3" s="220"/>
      <c r="BA3" s="220"/>
      <c r="BB3" s="220"/>
      <c r="BC3" s="220"/>
      <c r="BD3" s="221" t="s">
        <v>2</v>
      </c>
      <c r="BE3" s="221"/>
      <c r="BF3" s="221"/>
      <c r="BG3" s="221"/>
      <c r="BH3" s="225" t="s">
        <v>3</v>
      </c>
      <c r="BI3" s="225"/>
      <c r="BJ3" s="225"/>
      <c r="BK3" s="225"/>
      <c r="BL3" s="216" t="s">
        <v>4</v>
      </c>
      <c r="BM3" s="216"/>
      <c r="BN3" s="216"/>
      <c r="BO3" s="216" t="s">
        <v>5</v>
      </c>
      <c r="BP3" s="216"/>
      <c r="BQ3" s="216"/>
      <c r="BR3" s="174" t="s">
        <v>81</v>
      </c>
      <c r="BS3" s="175"/>
      <c r="BT3" s="175"/>
      <c r="BU3" s="175"/>
      <c r="BV3" s="175"/>
      <c r="BW3" s="175"/>
      <c r="BX3" s="175"/>
      <c r="BY3" s="175"/>
      <c r="BZ3" s="176"/>
      <c r="CA3" s="177" t="s">
        <v>70</v>
      </c>
      <c r="CB3" s="178"/>
      <c r="CC3" s="178"/>
      <c r="CD3" s="178"/>
      <c r="CE3" s="178"/>
      <c r="CF3" s="48"/>
      <c r="CG3" s="49"/>
    </row>
    <row r="4" spans="1:85" s="13" customFormat="1" ht="24" customHeight="1">
      <c r="A4" s="9" t="s">
        <v>82</v>
      </c>
      <c r="B4" s="156" t="s">
        <v>66</v>
      </c>
      <c r="C4" s="217" t="s">
        <v>48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8" t="s">
        <v>38</v>
      </c>
      <c r="AH4" s="218"/>
      <c r="AI4" s="218" t="s">
        <v>39</v>
      </c>
      <c r="AJ4" s="218"/>
      <c r="AK4" s="218" t="s">
        <v>40</v>
      </c>
      <c r="AL4" s="218"/>
      <c r="AM4" s="218" t="s">
        <v>41</v>
      </c>
      <c r="AN4" s="218"/>
      <c r="AO4" s="218" t="s">
        <v>42</v>
      </c>
      <c r="AP4" s="218"/>
      <c r="AQ4" s="219" t="s">
        <v>43</v>
      </c>
      <c r="AR4" s="219"/>
      <c r="AS4" s="8"/>
      <c r="AT4" s="8"/>
      <c r="AU4" s="8"/>
      <c r="AV4" s="165"/>
      <c r="AW4" s="166" t="s">
        <v>6</v>
      </c>
      <c r="AX4" s="107" t="s">
        <v>7</v>
      </c>
      <c r="AY4" s="107" t="s">
        <v>8</v>
      </c>
      <c r="AZ4" s="107" t="s">
        <v>83</v>
      </c>
      <c r="BA4" s="107" t="s">
        <v>84</v>
      </c>
      <c r="BB4" s="107" t="s">
        <v>85</v>
      </c>
      <c r="BC4" s="108" t="s">
        <v>9</v>
      </c>
      <c r="BD4" s="79" t="s">
        <v>86</v>
      </c>
      <c r="BE4" s="79" t="s">
        <v>87</v>
      </c>
      <c r="BF4" s="79" t="s">
        <v>88</v>
      </c>
      <c r="BG4" s="79" t="s">
        <v>89</v>
      </c>
      <c r="BH4" s="79" t="s">
        <v>86</v>
      </c>
      <c r="BI4" s="79" t="s">
        <v>87</v>
      </c>
      <c r="BJ4" s="79" t="s">
        <v>88</v>
      </c>
      <c r="BK4" s="81" t="s">
        <v>90</v>
      </c>
      <c r="BL4" s="82" t="s">
        <v>91</v>
      </c>
      <c r="BM4" s="82" t="s">
        <v>92</v>
      </c>
      <c r="BN4" s="82" t="s">
        <v>93</v>
      </c>
      <c r="BO4" s="83" t="s">
        <v>11</v>
      </c>
      <c r="BP4" s="83" t="s">
        <v>12</v>
      </c>
      <c r="BQ4" s="83" t="s">
        <v>13</v>
      </c>
      <c r="BR4" s="83" t="s">
        <v>107</v>
      </c>
      <c r="BS4" s="83" t="s">
        <v>10</v>
      </c>
      <c r="BT4" s="83" t="s">
        <v>13</v>
      </c>
      <c r="BU4" s="83" t="s">
        <v>108</v>
      </c>
      <c r="BV4" s="83" t="s">
        <v>11</v>
      </c>
      <c r="BW4" s="84" t="s">
        <v>94</v>
      </c>
      <c r="BX4" s="85" t="s">
        <v>95</v>
      </c>
      <c r="BY4" s="85" t="s">
        <v>96</v>
      </c>
      <c r="BZ4" s="85" t="s">
        <v>97</v>
      </c>
      <c r="CA4" s="54" t="s">
        <v>71</v>
      </c>
      <c r="CB4" s="54" t="s">
        <v>72</v>
      </c>
      <c r="CC4" s="54" t="s">
        <v>73</v>
      </c>
      <c r="CD4" s="54" t="s">
        <v>74</v>
      </c>
      <c r="CE4" s="54" t="s">
        <v>75</v>
      </c>
      <c r="CF4" s="54" t="s">
        <v>76</v>
      </c>
      <c r="CG4" s="54" t="s">
        <v>77</v>
      </c>
    </row>
    <row r="5" spans="1:85" s="13" customFormat="1" ht="30" customHeight="1">
      <c r="A5" s="50">
        <v>6</v>
      </c>
      <c r="B5" s="157">
        <v>14.3</v>
      </c>
      <c r="C5" s="86" t="s">
        <v>19</v>
      </c>
      <c r="D5" s="211" t="str">
        <f>REPT('lista di qualificazione'!B4,1)</f>
        <v>Buzzoni Nicolò   -   Pol. Oratorio Pian Camuno A.S.D.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/>
      <c r="R5" s="87" t="s">
        <v>32</v>
      </c>
      <c r="S5" s="213" t="str">
        <f>REPT(D7,1)</f>
        <v>Mineo Marco   -   Tennis Tavolo Coniolo</v>
      </c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5"/>
      <c r="AG5" s="51"/>
      <c r="AH5" s="52"/>
      <c r="AI5" s="53"/>
      <c r="AJ5" s="41"/>
      <c r="AK5" s="51"/>
      <c r="AL5" s="52"/>
      <c r="AM5" s="53"/>
      <c r="AN5" s="41"/>
      <c r="AO5" s="51"/>
      <c r="AP5" s="65"/>
      <c r="AQ5" s="66">
        <f aca="true" t="shared" si="0" ref="AQ5:AQ10">IF(AG5="","",IF(AG5&lt;&gt;"",CF5))</f>
      </c>
      <c r="AR5" s="66">
        <f aca="true" t="shared" si="1" ref="AR5:AR10">IF(AG5="","",IF(AG5&lt;&gt;"",CG5))</f>
      </c>
      <c r="AS5" s="109"/>
      <c r="AT5" s="109"/>
      <c r="AU5" s="109"/>
      <c r="AV5" s="167" t="str">
        <f>REPT(D5,1)</f>
        <v>Buzzoni Nicolò   -   Pol. Oratorio Pian Camuno A.S.D.</v>
      </c>
      <c r="AW5" s="132" t="str">
        <f>IF(AQ5="","0",IF(AQ5&gt;AR5,"2",IF(AQ5&lt;AR5,"0","")))</f>
        <v>0</v>
      </c>
      <c r="AX5" s="110"/>
      <c r="AY5" s="111"/>
      <c r="AZ5" s="9" t="str">
        <f>IF(AR8="","0",IF(AQ8&gt;AR8,"0",IF(AQ8&lt;AR8,"2","")))</f>
        <v>0</v>
      </c>
      <c r="BA5" s="9" t="str">
        <f>IF(AR9="","0",IF(AQ9&gt;AR9,"0",IF(AQ9&lt;AR9,"2","")))</f>
        <v>0</v>
      </c>
      <c r="BB5" s="111"/>
      <c r="BC5" s="112">
        <f>SUM(AW5+AZ5+BA5)</f>
        <v>0</v>
      </c>
      <c r="BD5" s="78" t="str">
        <f>IF(AW5="2","1","0")</f>
        <v>0</v>
      </c>
      <c r="BE5" s="78" t="str">
        <f>IF(AZ5="2","1","0")</f>
        <v>0</v>
      </c>
      <c r="BF5" s="78" t="str">
        <f>IF(BA5="2","1","0")</f>
        <v>0</v>
      </c>
      <c r="BG5" s="88">
        <f>SUM(BD5+BE5+BF5)</f>
        <v>0</v>
      </c>
      <c r="BH5" s="78" t="str">
        <f>IF(AW5&gt;AW7,"0",IF(AW5&lt;AW7,"1","0"))</f>
        <v>0</v>
      </c>
      <c r="BI5" s="78" t="str">
        <f>IF(AZ5&gt;AZ8,"0",IF(AZ5&lt;AZ8,"1","0"))</f>
        <v>0</v>
      </c>
      <c r="BJ5" s="78" t="str">
        <f>IF(BA5&gt;BA6,"0",IF(BA5&lt;BA6,"1","0"))</f>
        <v>0</v>
      </c>
      <c r="BK5" s="88">
        <f>SUM(BH5+BI5+BJ5)</f>
        <v>0</v>
      </c>
      <c r="BL5" s="89">
        <f>SUM(CF5+CG8+CG9)</f>
        <v>0</v>
      </c>
      <c r="BM5" s="89">
        <f>SUM(CG5+CF8+CF9)</f>
        <v>0</v>
      </c>
      <c r="BN5" s="80">
        <f>SUM(BL5-BM5)</f>
        <v>0</v>
      </c>
      <c r="BO5" s="80">
        <f>SUM(AG5+AI5+AK5+AM5+AO5+AH8+AJ8+AL8+AN8+AP8+AH9+AJ9+AL9+AN9+AP9)</f>
        <v>0</v>
      </c>
      <c r="BP5" s="80">
        <f>SUM(AH5+AJ5+AL5+AN5+AP5+AG8+AI8+AK8+AM8+AO8+AG9+AI9+AK9+AM9+AO9)</f>
        <v>0</v>
      </c>
      <c r="BQ5" s="80">
        <f>SUM(BO5-BP5)</f>
        <v>0</v>
      </c>
      <c r="BR5" s="90">
        <f>BC5*BR2</f>
        <v>0</v>
      </c>
      <c r="BS5" s="90">
        <f>SUM(BN5*BN2)</f>
        <v>0</v>
      </c>
      <c r="BT5" s="90">
        <f>SUM(BQ5*BQ2)</f>
        <v>0</v>
      </c>
      <c r="BU5" s="90">
        <f>SUM(BL5*BL2)</f>
        <v>0</v>
      </c>
      <c r="BV5" s="90">
        <f>SUM(BO5*BO2)</f>
        <v>0</v>
      </c>
      <c r="BW5" s="91">
        <f>SUM(BR5+BS5+BT5+BU5+BV5)</f>
        <v>0</v>
      </c>
      <c r="BX5" s="90">
        <f>IF(BW5&lt;MAX(BW5:BW8),BW5,"")</f>
      </c>
      <c r="BY5" s="90">
        <f>IF(BX5&lt;MAX(BX5:BX8),BX5,"")</f>
      </c>
      <c r="BZ5" s="90">
        <f>IF(BY5&lt;MAX(BY5:BY8),BY5,"")</f>
      </c>
      <c r="CA5" s="59">
        <f aca="true" t="shared" si="2" ref="CA5:CA10">IF(AND(AG5&lt;&gt;"",AH5&lt;&gt;""),IF(AG5&gt;AH5,"c","f"),0)</f>
        <v>0</v>
      </c>
      <c r="CB5" s="59">
        <f aca="true" t="shared" si="3" ref="CB5:CB10">IF(AND(AI5&lt;&gt;"",AJ5&lt;&gt;""),IF(AI5&gt;AJ5,"c","f"),0)</f>
        <v>0</v>
      </c>
      <c r="CC5" s="59">
        <f aca="true" t="shared" si="4" ref="CC5:CC10">IF(AND(AK5&lt;&gt;"",AL5&lt;&gt;""),IF(AK5&gt;AL5,"c","f"),0)</f>
        <v>0</v>
      </c>
      <c r="CD5" s="59">
        <f aca="true" t="shared" si="5" ref="CD5:CD10">IF(AND(AM5&lt;&gt;"",AN5&lt;&gt;""),IF(AM5&gt;AN5,"c","f"),0)</f>
        <v>0</v>
      </c>
      <c r="CE5" s="59">
        <f aca="true" t="shared" si="6" ref="CE5:CE10">IF(AND(AO5&lt;&gt;"",AP5&lt;&gt;""),IF(AO5&gt;AP5,"c","f"),0)</f>
        <v>0</v>
      </c>
      <c r="CF5" s="59">
        <f aca="true" t="shared" si="7" ref="CF5:CF10">COUNTIF(CA5:CE5,"c")</f>
        <v>0</v>
      </c>
      <c r="CG5" s="59">
        <f aca="true" t="shared" si="8" ref="CG5:CG10">COUNTIF(CA5:CE5,"f")</f>
        <v>0</v>
      </c>
    </row>
    <row r="6" spans="1:85" s="13" customFormat="1" ht="30" customHeight="1">
      <c r="A6" s="55"/>
      <c r="B6" s="158"/>
      <c r="C6" s="92" t="s">
        <v>20</v>
      </c>
      <c r="D6" s="203" t="str">
        <f>REPT('lista di qualificazione'!B7,1)</f>
        <v>Ottelli Daniel   -   Pol. Oratorio Pian Camuno A.S.D.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93" t="s">
        <v>32</v>
      </c>
      <c r="S6" s="205" t="str">
        <f>REPT(D8,1)</f>
        <v>Lazzaroni Mathias   -   Tennis Tavolo Coniolo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7"/>
      <c r="AG6" s="56"/>
      <c r="AH6" s="57"/>
      <c r="AI6" s="58"/>
      <c r="AJ6" s="42"/>
      <c r="AK6" s="56"/>
      <c r="AL6" s="57"/>
      <c r="AM6" s="58"/>
      <c r="AN6" s="42"/>
      <c r="AO6" s="56"/>
      <c r="AP6" s="42"/>
      <c r="AQ6" s="66">
        <f t="shared" si="0"/>
      </c>
      <c r="AR6" s="66">
        <f t="shared" si="1"/>
      </c>
      <c r="AS6" s="109"/>
      <c r="AT6" s="109"/>
      <c r="AU6" s="109"/>
      <c r="AV6" s="167" t="str">
        <f>REPT(D6,1)</f>
        <v>Ottelli Daniel   -   Pol. Oratorio Pian Camuno A.S.D.</v>
      </c>
      <c r="AW6" s="132"/>
      <c r="AX6" s="9" t="str">
        <f>IF(AQ6="","0",IF(AQ6&gt;AR6,"2",IF(AQ6&lt;AR6,"0","")))</f>
        <v>0</v>
      </c>
      <c r="AY6" s="9" t="str">
        <f>IF(AR7="","0",IF(AQ7&gt;AR7,"0",IF(AQ7&lt;AR7,"2","")))</f>
        <v>0</v>
      </c>
      <c r="AZ6" s="110"/>
      <c r="BA6" s="9" t="str">
        <f>IF(AQ9="","0",IF(AR9&gt;AQ9,"0",IF(AR9&lt;AQ9,"2","")))</f>
        <v>0</v>
      </c>
      <c r="BB6" s="111"/>
      <c r="BC6" s="112">
        <f>SUM(AX6+AY6+BA6)</f>
        <v>0</v>
      </c>
      <c r="BD6" s="78" t="str">
        <f>IF(AX6="2","1","0")</f>
        <v>0</v>
      </c>
      <c r="BE6" s="78" t="str">
        <f>IF(AY6="2","1","0")</f>
        <v>0</v>
      </c>
      <c r="BF6" s="78" t="str">
        <f>IF(BA6="2","1","0")</f>
        <v>0</v>
      </c>
      <c r="BG6" s="88">
        <f>SUM(BD6+BE6+BF6)</f>
        <v>0</v>
      </c>
      <c r="BH6" s="78" t="str">
        <f>IF(AX6&gt;AX8,"0",IF(AX6&lt;AX8,"1","0"))</f>
        <v>0</v>
      </c>
      <c r="BI6" s="78" t="str">
        <f>IF(AY6&gt;AY7,"0",IF(AY6&lt;AY7,"1","0"))</f>
        <v>0</v>
      </c>
      <c r="BJ6" s="78" t="str">
        <f>IF(BA6&gt;BA5,"0",IF(BA6&lt;BA5,"1","0"))</f>
        <v>0</v>
      </c>
      <c r="BK6" s="88">
        <f>SUM(BH6+BI6+BJ6)</f>
        <v>0</v>
      </c>
      <c r="BL6" s="89">
        <f>SUM(CF6+CG7+CF9)</f>
        <v>0</v>
      </c>
      <c r="BM6" s="89">
        <f>SUM(CG6+CF7+CG9)</f>
        <v>0</v>
      </c>
      <c r="BN6" s="80">
        <f>SUM(BL6-BM6)</f>
        <v>0</v>
      </c>
      <c r="BO6" s="80">
        <f>SUM(AG6+AI6+AK6+AM6+AO6+AH7+AJ7+AL7+AN7+AP7+AG9+AI9+AK9+AM9+AO9)</f>
        <v>0</v>
      </c>
      <c r="BP6" s="80">
        <f>SUM(AH6+AJ6+AL6+AN6+AP6+AG7+AI7+AK7+AM7+AO7+AH9+AJ9+AL9+AN9+AP9)</f>
        <v>0</v>
      </c>
      <c r="BQ6" s="80">
        <f>SUM(BO6-BP6)</f>
        <v>0</v>
      </c>
      <c r="BR6" s="90">
        <f>BC6*BR2</f>
        <v>0</v>
      </c>
      <c r="BS6" s="90">
        <f>SUM(BN6*BN2)</f>
        <v>0</v>
      </c>
      <c r="BT6" s="90">
        <f>SUM(BQ6*BQ2)</f>
        <v>0</v>
      </c>
      <c r="BU6" s="90">
        <f>SUM(BL6*BL2)</f>
        <v>0</v>
      </c>
      <c r="BV6" s="90">
        <f>SUM(BO6*BO2)</f>
        <v>0</v>
      </c>
      <c r="BW6" s="91">
        <f>SUM(BR6+BS6+BT6+BU6+BV6)</f>
        <v>0</v>
      </c>
      <c r="BX6" s="90">
        <f>IF(BW6&lt;MAX(BW5:BW8),BW6,"")</f>
      </c>
      <c r="BY6" s="90">
        <f>IF(BX6&lt;MAX(BX5:BX8),BX6,"")</f>
      </c>
      <c r="BZ6" s="90">
        <f>IF(BY6&lt;MAX(BY5:BY8),BY6,"")</f>
      </c>
      <c r="CA6" s="59">
        <f t="shared" si="2"/>
        <v>0</v>
      </c>
      <c r="CB6" s="59">
        <f t="shared" si="3"/>
        <v>0</v>
      </c>
      <c r="CC6" s="59">
        <f t="shared" si="4"/>
        <v>0</v>
      </c>
      <c r="CD6" s="59">
        <f t="shared" si="5"/>
        <v>0</v>
      </c>
      <c r="CE6" s="59">
        <f t="shared" si="6"/>
        <v>0</v>
      </c>
      <c r="CF6" s="59">
        <f t="shared" si="7"/>
        <v>0</v>
      </c>
      <c r="CG6" s="59">
        <f t="shared" si="8"/>
        <v>0</v>
      </c>
    </row>
    <row r="7" spans="1:85" s="13" customFormat="1" ht="30" customHeight="1">
      <c r="A7" s="55"/>
      <c r="B7" s="158"/>
      <c r="C7" s="92" t="s">
        <v>21</v>
      </c>
      <c r="D7" s="203" t="str">
        <f>REPT('lista di qualificazione'!B9,1)</f>
        <v>Mineo Marco   -   Tennis Tavolo Coniolo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93" t="s">
        <v>32</v>
      </c>
      <c r="S7" s="205" t="str">
        <f>REPT(D6,1)</f>
        <v>Ottelli Daniel   -   Pol. Oratorio Pian Camuno A.S.D.</v>
      </c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7"/>
      <c r="AG7" s="56"/>
      <c r="AH7" s="57"/>
      <c r="AI7" s="58"/>
      <c r="AJ7" s="42"/>
      <c r="AK7" s="56"/>
      <c r="AL7" s="57"/>
      <c r="AM7" s="58"/>
      <c r="AN7" s="42"/>
      <c r="AO7" s="56"/>
      <c r="AP7" s="42"/>
      <c r="AQ7" s="66">
        <f t="shared" si="0"/>
      </c>
      <c r="AR7" s="66">
        <f t="shared" si="1"/>
      </c>
      <c r="AS7" s="109"/>
      <c r="AT7" s="109"/>
      <c r="AU7" s="109"/>
      <c r="AV7" s="167" t="str">
        <f>REPT(D7,1)</f>
        <v>Mineo Marco   -   Tennis Tavolo Coniolo</v>
      </c>
      <c r="AW7" s="132" t="str">
        <f>IF(AR5="","0",IF(AQ5&gt;AR5,"0",IF(AR5&gt;AQ5,"2","")))</f>
        <v>0</v>
      </c>
      <c r="AX7" s="111"/>
      <c r="AY7" s="9" t="str">
        <f>IF(AQ7="","0",IF(AQ7&gt;AR7,"2",IF(AQ7&lt;AR7,"0","")))</f>
        <v>0</v>
      </c>
      <c r="AZ7" s="111"/>
      <c r="BA7" s="111"/>
      <c r="BB7" s="9" t="str">
        <f>IF(AQ10="","0",IF(AR10&gt;AQ10,"0",IF(AR10&lt;AQ10,"2","")))</f>
        <v>0</v>
      </c>
      <c r="BC7" s="112">
        <f>SUM(AW7+AY7+BB7)</f>
        <v>0</v>
      </c>
      <c r="BD7" s="78" t="str">
        <f>IF(AW7="2","1","0")</f>
        <v>0</v>
      </c>
      <c r="BE7" s="78" t="str">
        <f>IF(AY7="2","1","0")</f>
        <v>0</v>
      </c>
      <c r="BF7" s="78" t="str">
        <f>IF(BB7="2","1","0")</f>
        <v>0</v>
      </c>
      <c r="BG7" s="88">
        <f>SUM(BD7+BE7+BF7)</f>
        <v>0</v>
      </c>
      <c r="BH7" s="78" t="str">
        <f>IF(AW7&gt;AW5,"0",IF(AW7&lt;AW5,"1","0"))</f>
        <v>0</v>
      </c>
      <c r="BI7" s="78" t="str">
        <f>IF(AY7&gt;AY6,"0",IF(AY7&lt;AY6,"1","0"))</f>
        <v>0</v>
      </c>
      <c r="BJ7" s="78" t="str">
        <f>IF(BB7&gt;BB8,"0",IF(BB7&lt;BB8,"1","0"))</f>
        <v>0</v>
      </c>
      <c r="BK7" s="88">
        <f>SUM(BH7+BI7+BJ7)</f>
        <v>0</v>
      </c>
      <c r="BL7" s="89">
        <f>SUM(CG5+CF7+CF10)</f>
        <v>0</v>
      </c>
      <c r="BM7" s="89">
        <f>SUM(CF5+CG7+CG10)</f>
        <v>0</v>
      </c>
      <c r="BN7" s="80">
        <f>SUM(BL7-BM7)</f>
        <v>0</v>
      </c>
      <c r="BO7" s="80">
        <f>SUM(AH5+AJ5+AL5+AN5+AP5+AG7+AI7+AK7+AM7+AO7+AG10+AI10+AK10+AM10+AO10)</f>
        <v>0</v>
      </c>
      <c r="BP7" s="80">
        <f>SUM(AG5+AI5+AK5+AM5+AO5+AH7+AJ7+AL7+AN7+AP7+AH10+AJ10+AL10+AN10+AP10)</f>
        <v>0</v>
      </c>
      <c r="BQ7" s="80">
        <f>SUM(BO7-BP7)</f>
        <v>0</v>
      </c>
      <c r="BR7" s="90">
        <f>BC7*BR2</f>
        <v>0</v>
      </c>
      <c r="BS7" s="90">
        <f>SUM(BN7*BN2)</f>
        <v>0</v>
      </c>
      <c r="BT7" s="90">
        <f>SUM(BQ7*BQ2)</f>
        <v>0</v>
      </c>
      <c r="BU7" s="90">
        <f>SUM(BL7*BL2)</f>
        <v>0</v>
      </c>
      <c r="BV7" s="90">
        <f>SUM(BO7*BO2)</f>
        <v>0</v>
      </c>
      <c r="BW7" s="91">
        <f>SUM(BR7+BS7+BT7+BU7+BV7)</f>
        <v>0</v>
      </c>
      <c r="BX7" s="90">
        <f>IF(BW7&lt;MAX(BW5:BW8),BW7,"")</f>
      </c>
      <c r="BY7" s="90">
        <f>IF(BX7&lt;MAX(BX5:BX8),BX7,"")</f>
      </c>
      <c r="BZ7" s="90">
        <f>IF(BY7&lt;MAX(BY5:BY8),BY7,"")</f>
      </c>
      <c r="CA7" s="59">
        <f t="shared" si="2"/>
        <v>0</v>
      </c>
      <c r="CB7" s="59">
        <f t="shared" si="3"/>
        <v>0</v>
      </c>
      <c r="CC7" s="59">
        <f t="shared" si="4"/>
        <v>0</v>
      </c>
      <c r="CD7" s="59">
        <f t="shared" si="5"/>
        <v>0</v>
      </c>
      <c r="CE7" s="59">
        <f t="shared" si="6"/>
        <v>0</v>
      </c>
      <c r="CF7" s="59">
        <f t="shared" si="7"/>
        <v>0</v>
      </c>
      <c r="CG7" s="59">
        <f t="shared" si="8"/>
        <v>0</v>
      </c>
    </row>
    <row r="8" spans="1:85" s="13" customFormat="1" ht="30" customHeight="1" thickBot="1">
      <c r="A8" s="55"/>
      <c r="B8" s="158"/>
      <c r="C8" s="92" t="s">
        <v>98</v>
      </c>
      <c r="D8" s="203" t="str">
        <f>REPT('lista di qualificazione'!B11,1)</f>
        <v>Lazzaroni Mathias   -   Tennis Tavolo Coniolo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93" t="s">
        <v>32</v>
      </c>
      <c r="S8" s="205" t="str">
        <f>REPT(D5,1)</f>
        <v>Buzzoni Nicolò   -   Pol. Oratorio Pian Camuno A.S.D.</v>
      </c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7"/>
      <c r="AG8" s="56"/>
      <c r="AH8" s="57"/>
      <c r="AI8" s="58"/>
      <c r="AJ8" s="42"/>
      <c r="AK8" s="56"/>
      <c r="AL8" s="57"/>
      <c r="AM8" s="58"/>
      <c r="AN8" s="42"/>
      <c r="AO8" s="56"/>
      <c r="AP8" s="42"/>
      <c r="AQ8" s="66">
        <f t="shared" si="0"/>
      </c>
      <c r="AR8" s="66">
        <f t="shared" si="1"/>
      </c>
      <c r="AS8" s="109"/>
      <c r="AT8" s="109"/>
      <c r="AU8" s="109"/>
      <c r="AV8" s="167" t="str">
        <f>REPT(D8,1)</f>
        <v>Lazzaroni Mathias   -   Tennis Tavolo Coniolo</v>
      </c>
      <c r="AW8" s="168"/>
      <c r="AX8" s="9" t="str">
        <f>IF(AR6="","0",IF(AQ6&gt;AR6,"0",IF(AQ6&lt;AR6,"2","")))</f>
        <v>0</v>
      </c>
      <c r="AY8" s="111"/>
      <c r="AZ8" s="9" t="str">
        <f>IF(AQ8="","0",IF(AR8&gt;AQ8,"0",IF(AR8&lt;AQ8,"2","")))</f>
        <v>0</v>
      </c>
      <c r="BA8" s="111"/>
      <c r="BB8" s="9" t="str">
        <f>IF(AQ10="","0",IF(AR10&gt;AQ10,"2",IF(AR10&lt;AQ10,"0","")))</f>
        <v>0</v>
      </c>
      <c r="BC8" s="112">
        <f>SUM(AX8+AZ8+BB8)</f>
        <v>0</v>
      </c>
      <c r="BD8" s="78" t="str">
        <f>IF(AX8="2","1","0")</f>
        <v>0</v>
      </c>
      <c r="BE8" s="78" t="str">
        <f>IF(AZ8="2","1","0")</f>
        <v>0</v>
      </c>
      <c r="BF8" s="78" t="str">
        <f>IF(BB8="2","1","0")</f>
        <v>0</v>
      </c>
      <c r="BG8" s="88">
        <f>SUM(BD8+BE8+BF8)</f>
        <v>0</v>
      </c>
      <c r="BH8" s="78" t="str">
        <f>IF(AX8&gt;AX6,"0",IF(AX8&lt;AX6,"1","0"))</f>
        <v>0</v>
      </c>
      <c r="BI8" s="78" t="str">
        <f>IF(AZ8&gt;AZ5,"0",IF(AZ8&lt;AZ5,"1","0"))</f>
        <v>0</v>
      </c>
      <c r="BJ8" s="78" t="str">
        <f>IF(BB8&gt;BB7,"0",IF(BB8&lt;BB7,"1","0"))</f>
        <v>0</v>
      </c>
      <c r="BK8" s="88">
        <f>SUM(BH8+BI8+BJ8)</f>
        <v>0</v>
      </c>
      <c r="BL8" s="89">
        <f>SUM(CG6+CF8+CG10)</f>
        <v>0</v>
      </c>
      <c r="BM8" s="89">
        <f>SUM(CF6+CG8+CF10)</f>
        <v>0</v>
      </c>
      <c r="BN8" s="80">
        <f>SUM(BL8-BM8)</f>
        <v>0</v>
      </c>
      <c r="BO8" s="80">
        <f>SUM(AH6+AJ6+AL6+AN6+AP6+AG8+AI8+AK8+AM8+AO8+AH10+AJ10+AL10+AN10+AP10)</f>
        <v>0</v>
      </c>
      <c r="BP8" s="80">
        <f>SUM(AG6+AI6+AK6+AM6+AO6+AH8+AJ8+AL8+AN8+AP8+AG10+AI10+AK10+AM10+AO10)</f>
        <v>0</v>
      </c>
      <c r="BQ8" s="80">
        <f>SUM(BO8-BP8)</f>
        <v>0</v>
      </c>
      <c r="BR8" s="90">
        <f>BC8*BR2</f>
        <v>0</v>
      </c>
      <c r="BS8" s="90">
        <f>SUM(BN8*BN2)</f>
        <v>0</v>
      </c>
      <c r="BT8" s="90">
        <f>SUM(BQ8*BQ2)</f>
        <v>0</v>
      </c>
      <c r="BU8" s="90">
        <f>SUM(BL8*BL2)</f>
        <v>0</v>
      </c>
      <c r="BV8" s="90">
        <f>SUM(BO8*BO2)</f>
        <v>0</v>
      </c>
      <c r="BW8" s="91">
        <f>SUM(BR8+BS8+BT8+BU8+BV8)</f>
        <v>0</v>
      </c>
      <c r="BX8" s="90">
        <f>IF(BW8&lt;MAX(BW5:BW8),BW8,"")</f>
      </c>
      <c r="BY8" s="90">
        <f>IF(BX8&lt;MAX(BX5:BX8),BX8,"")</f>
      </c>
      <c r="BZ8" s="90">
        <f>IF(BY8&lt;MAX(BY5:BY8),BY8,"")</f>
      </c>
      <c r="CA8" s="59">
        <f t="shared" si="2"/>
        <v>0</v>
      </c>
      <c r="CB8" s="59">
        <f t="shared" si="3"/>
        <v>0</v>
      </c>
      <c r="CC8" s="59">
        <f t="shared" si="4"/>
        <v>0</v>
      </c>
      <c r="CD8" s="59">
        <f t="shared" si="5"/>
        <v>0</v>
      </c>
      <c r="CE8" s="59">
        <f t="shared" si="6"/>
        <v>0</v>
      </c>
      <c r="CF8" s="59">
        <f t="shared" si="7"/>
        <v>0</v>
      </c>
      <c r="CG8" s="59">
        <f t="shared" si="8"/>
        <v>0</v>
      </c>
    </row>
    <row r="9" spans="1:85" s="13" customFormat="1" ht="30" customHeight="1">
      <c r="A9" s="55"/>
      <c r="B9" s="158"/>
      <c r="C9" s="92" t="s">
        <v>99</v>
      </c>
      <c r="D9" s="206" t="str">
        <f>REPT(D6,1)</f>
        <v>Ottelli Daniel   -   Pol. Oratorio Pian Camuno A.S.D.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93" t="s">
        <v>32</v>
      </c>
      <c r="S9" s="205" t="str">
        <f>REPT(D5,1)</f>
        <v>Buzzoni Nicolò   -   Pol. Oratorio Pian Camuno A.S.D.</v>
      </c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7"/>
      <c r="AG9" s="56"/>
      <c r="AH9" s="57"/>
      <c r="AI9" s="58"/>
      <c r="AJ9" s="42"/>
      <c r="AK9" s="56"/>
      <c r="AL9" s="57"/>
      <c r="AM9" s="58"/>
      <c r="AN9" s="42"/>
      <c r="AO9" s="56"/>
      <c r="AP9" s="42"/>
      <c r="AQ9" s="66">
        <f t="shared" si="0"/>
      </c>
      <c r="AR9" s="66">
        <f t="shared" si="1"/>
      </c>
      <c r="AS9" s="109"/>
      <c r="AT9" s="109"/>
      <c r="AU9" s="109"/>
      <c r="AV9" s="169" t="s">
        <v>28</v>
      </c>
      <c r="AW9" s="170" t="s">
        <v>29</v>
      </c>
      <c r="AX9" s="114" t="s">
        <v>100</v>
      </c>
      <c r="AY9" s="115" t="s">
        <v>101</v>
      </c>
      <c r="BA9" s="116"/>
      <c r="BB9" s="116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15"/>
      <c r="BY9" s="15"/>
      <c r="BZ9" s="15"/>
      <c r="CA9" s="59">
        <f t="shared" si="2"/>
        <v>0</v>
      </c>
      <c r="CB9" s="59">
        <f t="shared" si="3"/>
        <v>0</v>
      </c>
      <c r="CC9" s="59">
        <f t="shared" si="4"/>
        <v>0</v>
      </c>
      <c r="CD9" s="59">
        <f t="shared" si="5"/>
        <v>0</v>
      </c>
      <c r="CE9" s="59">
        <f t="shared" si="6"/>
        <v>0</v>
      </c>
      <c r="CF9" s="59">
        <f t="shared" si="7"/>
        <v>0</v>
      </c>
      <c r="CG9" s="59">
        <f t="shared" si="8"/>
        <v>0</v>
      </c>
    </row>
    <row r="10" spans="1:85" s="13" customFormat="1" ht="30" customHeight="1">
      <c r="A10" s="60"/>
      <c r="B10" s="159"/>
      <c r="C10" s="94" t="s">
        <v>102</v>
      </c>
      <c r="D10" s="208" t="str">
        <f>REPT(D7,1)</f>
        <v>Mineo Marco   -   Tennis Tavolo Coniolo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9"/>
      <c r="R10" s="95" t="s">
        <v>32</v>
      </c>
      <c r="S10" s="210" t="str">
        <f>REPT(D8,1)</f>
        <v>Lazzaroni Mathias   -   Tennis Tavolo Coniolo</v>
      </c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9"/>
      <c r="AG10" s="61"/>
      <c r="AH10" s="62"/>
      <c r="AI10" s="63"/>
      <c r="AJ10" s="64"/>
      <c r="AK10" s="61"/>
      <c r="AL10" s="62"/>
      <c r="AM10" s="63"/>
      <c r="AN10" s="64"/>
      <c r="AO10" s="61"/>
      <c r="AP10" s="64"/>
      <c r="AQ10" s="66">
        <f t="shared" si="0"/>
      </c>
      <c r="AR10" s="66">
        <f t="shared" si="1"/>
      </c>
      <c r="AS10" s="109"/>
      <c r="AT10" s="109"/>
      <c r="AU10" s="109"/>
      <c r="AV10" s="171" t="str">
        <f>IF(BW5=MAX(BW5:BW8),AV5,"")</f>
        <v>Buzzoni Nicolò   -   Pol. Oratorio Pian Camuno A.S.D.</v>
      </c>
      <c r="AW10" s="172">
        <f>IF(BX5=MAX(BX5:BX8),AV5,"")</f>
      </c>
      <c r="AX10" s="117">
        <f>IF(BY5=MAX(BY5:BY8),AV5,"")</f>
      </c>
      <c r="AY10" s="118">
        <f>IF(BZ5=MAX(BZ5:BZ8),AV5,"")</f>
      </c>
      <c r="BA10" s="119"/>
      <c r="BB10" s="119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15"/>
      <c r="BY10" s="15"/>
      <c r="BZ10" s="15"/>
      <c r="CA10" s="59">
        <f t="shared" si="2"/>
        <v>0</v>
      </c>
      <c r="CB10" s="59">
        <f t="shared" si="3"/>
        <v>0</v>
      </c>
      <c r="CC10" s="59">
        <f t="shared" si="4"/>
        <v>0</v>
      </c>
      <c r="CD10" s="59">
        <f t="shared" si="5"/>
        <v>0</v>
      </c>
      <c r="CE10" s="59">
        <f t="shared" si="6"/>
        <v>0</v>
      </c>
      <c r="CF10" s="59">
        <f t="shared" si="7"/>
        <v>0</v>
      </c>
      <c r="CG10" s="59">
        <f t="shared" si="8"/>
        <v>0</v>
      </c>
    </row>
    <row r="11" spans="1:78" s="13" customFormat="1" ht="24" customHeight="1">
      <c r="A11" s="197" t="s">
        <v>15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8"/>
      <c r="AR11" s="198"/>
      <c r="AS11" s="120"/>
      <c r="AT11" s="120"/>
      <c r="AU11" s="120"/>
      <c r="AV11" s="171" t="str">
        <f>IF(BW6=MAX(BW5:BW8),AV6,"")</f>
        <v>Ottelli Daniel   -   Pol. Oratorio Pian Camuno A.S.D.</v>
      </c>
      <c r="AW11" s="172">
        <f>IF(BX6=MAX(BX5:BX8),AV6,"")</f>
      </c>
      <c r="AX11" s="117">
        <f>IF(BY6=MAX(BY5:BY8),AV6,"")</f>
      </c>
      <c r="AY11" s="118">
        <f>IF(BZ6=MAX(BZ5:BZ8),AV6,"")</f>
      </c>
      <c r="BA11" s="119"/>
      <c r="BB11" s="119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15"/>
      <c r="BY11" s="15"/>
      <c r="BZ11" s="15"/>
    </row>
    <row r="12" spans="1:78" s="13" customFormat="1" ht="24" customHeight="1">
      <c r="A12" s="199" t="s">
        <v>33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1" t="s">
        <v>34</v>
      </c>
      <c r="AA12" s="202"/>
      <c r="AB12" s="202"/>
      <c r="AC12" s="201" t="s">
        <v>44</v>
      </c>
      <c r="AD12" s="201"/>
      <c r="AE12" s="201" t="s">
        <v>45</v>
      </c>
      <c r="AF12" s="201"/>
      <c r="AG12" s="201" t="s">
        <v>46</v>
      </c>
      <c r="AH12" s="201"/>
      <c r="AI12" s="201" t="s">
        <v>47</v>
      </c>
      <c r="AJ12" s="201"/>
      <c r="AK12" s="201" t="s">
        <v>10</v>
      </c>
      <c r="AL12" s="201"/>
      <c r="AM12" s="201" t="s">
        <v>35</v>
      </c>
      <c r="AN12" s="201"/>
      <c r="AO12" s="201" t="s">
        <v>36</v>
      </c>
      <c r="AP12" s="201"/>
      <c r="AQ12" s="195" t="s">
        <v>37</v>
      </c>
      <c r="AR12" s="196"/>
      <c r="AS12" s="121"/>
      <c r="AT12" s="121"/>
      <c r="AU12" s="121"/>
      <c r="AV12" s="171" t="str">
        <f>IF(BW7=MAX(BW5:BW8),AV7,"")</f>
        <v>Mineo Marco   -   Tennis Tavolo Coniolo</v>
      </c>
      <c r="AW12" s="172">
        <f>IF(BX7=MAX(BX5:BX8),AV7,"")</f>
      </c>
      <c r="AX12" s="117">
        <f>IF(BY7=MAX(BY5:BY8),AV7,"")</f>
      </c>
      <c r="AY12" s="118">
        <f>IF(BZ7=MAX(BZ5:BZ8),AV7,"")</f>
      </c>
      <c r="BA12" s="119"/>
      <c r="BB12" s="119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15"/>
      <c r="BS12" s="15"/>
      <c r="BT12" s="15"/>
      <c r="BU12" s="15"/>
      <c r="BV12" s="15"/>
      <c r="BW12" s="15"/>
      <c r="BX12" s="15"/>
      <c r="BY12" s="15"/>
      <c r="BZ12" s="15"/>
    </row>
    <row r="13" spans="1:78" s="13" customFormat="1" ht="24" customHeight="1" thickBot="1">
      <c r="A13" s="189" t="str">
        <f>IF(BW5=MAX(BW5:BW8),AV5,IF(BW6=MAX(BW5:BW8),AV6,IF(BW7=MAX(BW5:BW8),AV7,IF(BW8=MAX(BW5:BW8),AV8,AV5))))</f>
        <v>Buzzoni Nicolò   -   Pol. Oratorio Pian Camuno A.S.D.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1">
        <f>IF(A13=AV5,BC5,IF(A13=AV6,BC6,IF(A13=AV7,BC7,IF(A13=AV8,BC8,"0"))))</f>
        <v>0</v>
      </c>
      <c r="AA13" s="191"/>
      <c r="AB13" s="191"/>
      <c r="AC13" s="183">
        <f>IF(A13=AV5,BG5,IF(A13=AV6,BG6,IF(A13=AV7,BG7,IF(A13=AV8,BG8,"0"))))</f>
        <v>0</v>
      </c>
      <c r="AD13" s="183"/>
      <c r="AE13" s="183">
        <f>IF(A13=AV5,BK5,IF(A13=AV6,BK6,IF(A13=AV7,BK7,IF(A13=AV8,BK8,"0"))))</f>
        <v>0</v>
      </c>
      <c r="AF13" s="183"/>
      <c r="AG13" s="183">
        <f>IF(A13=AV5,BL5,IF(A13=AV6,BL6,IF(A13=AV7,BL7,IF(A13=AV8,BL8,"0"))))</f>
        <v>0</v>
      </c>
      <c r="AH13" s="183"/>
      <c r="AI13" s="183">
        <f>IF(A13=AV5,BM5,IF(A13=AV6,BM6,IF(A13=AV7,BM7,IF(A13=AV8,BM8,"0"))))</f>
        <v>0</v>
      </c>
      <c r="AJ13" s="183"/>
      <c r="AK13" s="183">
        <f>SUM(AG13-AI13)</f>
        <v>0</v>
      </c>
      <c r="AL13" s="183"/>
      <c r="AM13" s="183">
        <f>IF(A13=AV5,BO5,IF(A13=AV6,BO6,IF(A13=AV7,BO7,IF(A13=AV8,BO8,"0"))))</f>
        <v>0</v>
      </c>
      <c r="AN13" s="183"/>
      <c r="AO13" s="183">
        <f>IF(A13=AV5,BP5,IF(A13=AV6,BP6,IF(A13=AV7,BP7,IF(A13=AV8,BP8,"0"))))</f>
        <v>0</v>
      </c>
      <c r="AP13" s="183"/>
      <c r="AQ13" s="183">
        <f>SUM(AM13-AO13)</f>
        <v>0</v>
      </c>
      <c r="AR13" s="184"/>
      <c r="AS13" s="119"/>
      <c r="AT13" s="119"/>
      <c r="AU13" s="119"/>
      <c r="AV13" s="171" t="str">
        <f>IF(BW8=MAX(BW5:BW8),AV8,"")</f>
        <v>Lazzaroni Mathias   -   Tennis Tavolo Coniolo</v>
      </c>
      <c r="AW13" s="172">
        <f>IF(BX8=MAX(BX5:BX8),AV8,"")</f>
      </c>
      <c r="AX13" s="122">
        <f>IF(BY8=MAX(BY5:BY8),AV8,"")</f>
      </c>
      <c r="AY13" s="123">
        <f>IF(BZ8=MAX(BZ5:BZ8),AV8,"")</f>
      </c>
      <c r="BA13" s="119"/>
      <c r="BB13" s="119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s="13" customFormat="1" ht="24" customHeight="1">
      <c r="A14" s="189" t="str">
        <f>IF(BX5=MAX(BX5:BX8),AV5,IF(BX6=MAX(BX5:BX8),AV6,IF(BX7=MAX(BX5:BX8),AV7,IF(BX8=MAX(BX5:BX8),AV8,AV6))))</f>
        <v>Ottelli Daniel   -   Pol. Oratorio Pian Camuno A.S.D.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>
        <f>IF(A14=AV5,BC5,IF(A14=AV6,BC6,IF(A14=AV7,BC7,IF(A14=AV8,BC8,"0"))))</f>
        <v>0</v>
      </c>
      <c r="AA14" s="191"/>
      <c r="AB14" s="191"/>
      <c r="AC14" s="183">
        <f>IF(A14=AV5,BG5,IF(A14=AV6,BG6,IF(A14=AV7,BG7,IF(A14=AV8,BG8,"0"))))</f>
        <v>0</v>
      </c>
      <c r="AD14" s="183"/>
      <c r="AE14" s="183">
        <f>IF(A14=AV5,BK5,IF(A14=AV6,BK6,IF(A14=AV7,BK7,IF(A14=AV8,BK8,"0"))))</f>
        <v>0</v>
      </c>
      <c r="AF14" s="183"/>
      <c r="AG14" s="183">
        <f>IF(A14=AV5,BL5,IF(A14=AV6,BL6,IF(A14=AV7,BL7,IF(A14=AV8,BL8,"0"))))</f>
        <v>0</v>
      </c>
      <c r="AH14" s="183"/>
      <c r="AI14" s="183">
        <f>IF(A14=AV5,BM5,IF(A14=AV6,BM6,IF(A14=AV7,BM7,IF(A14=AV8,BM8,"0"))))</f>
        <v>0</v>
      </c>
      <c r="AJ14" s="183"/>
      <c r="AK14" s="183">
        <f>SUM(AG14-AI14)</f>
        <v>0</v>
      </c>
      <c r="AL14" s="183"/>
      <c r="AM14" s="183">
        <f>IF(A14=AV5,BO5,IF(A14=AV6,BO6,IF(A14=AV7,BO7,IF(A14=AV8,BO8,"0"))))</f>
        <v>0</v>
      </c>
      <c r="AN14" s="183"/>
      <c r="AO14" s="183">
        <f>IF(A14=AV5,BP5,IF(A14=AV6,BP6,IF(A14=AV7,BP7,IF(A14=AV8,BP8,"0"))))</f>
        <v>0</v>
      </c>
      <c r="AP14" s="183"/>
      <c r="AQ14" s="183">
        <f>SUM(AM14-AO14)</f>
        <v>0</v>
      </c>
      <c r="AR14" s="184"/>
      <c r="AS14" s="119"/>
      <c r="AT14" s="119"/>
      <c r="AU14" s="119"/>
      <c r="AV14" s="187" t="s">
        <v>78</v>
      </c>
      <c r="AW14" s="188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</row>
    <row r="15" spans="1:78" s="13" customFormat="1" ht="24" customHeight="1">
      <c r="A15" s="189" t="str">
        <f>IF(BY5=MAX(BY5:BY8),AV5,IF(BY6=MAX(BY5:BY8),AV6,IF(BY7=MAX(BY5:BY8),AV7,IF(BY8=MAX(BY5:BY8),AV8,AV7))))</f>
        <v>Mineo Marco   -   Tennis Tavolo Coniolo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1">
        <f>IF(A15=AV5,BC5,IF(A15=AV6,BC6,IF(A15=AV7,BC7,IF(A15=AV8,BC8,"0"))))</f>
        <v>0</v>
      </c>
      <c r="AA15" s="191"/>
      <c r="AB15" s="191"/>
      <c r="AC15" s="183">
        <f>IF(A15=AV5,BG5,IF(A15=AV6,BG6,IF(A15=AV7,BG7,IF(A15=AV8,BG8,"0"))))</f>
        <v>0</v>
      </c>
      <c r="AD15" s="183"/>
      <c r="AE15" s="183">
        <f>IF(A15=AV5,BK5,IF(A15=AV6,BK6,IF(A15=AV7,BK7,IF(A15=AV8,BK8,"0"))))</f>
        <v>0</v>
      </c>
      <c r="AF15" s="183"/>
      <c r="AG15" s="183">
        <f>IF(A15=AV5,BL5,IF(A15=AV6,BL6,IF(A15=AV7,BL7,IF(A15=AV8,BL8,"0"))))</f>
        <v>0</v>
      </c>
      <c r="AH15" s="183"/>
      <c r="AI15" s="183">
        <f>IF(A15=AV5,BM5,IF(A15=AV6,BM6,IF(A15=AV7,BM7,IF(A15=AV8,BM8,"0"))))</f>
        <v>0</v>
      </c>
      <c r="AJ15" s="183"/>
      <c r="AK15" s="183">
        <f>SUM(AG15-AI15)</f>
        <v>0</v>
      </c>
      <c r="AL15" s="183"/>
      <c r="AM15" s="183">
        <f>IF(A15=AV5,BO5,IF(A15=AV6,BO6,IF(A15=AV7,BO7,IF(A15=AV8,BO8,"0"))))</f>
        <v>0</v>
      </c>
      <c r="AN15" s="183"/>
      <c r="AO15" s="183">
        <f>IF(A15=AV5,BP5,IF(A15=AV6,BP6,IF(A15=AV7,BP7,IF(A15=AV8,BP8,"0"))))</f>
        <v>0</v>
      </c>
      <c r="AP15" s="183"/>
      <c r="AQ15" s="183">
        <f>SUM(AM15-AO15)</f>
        <v>0</v>
      </c>
      <c r="AR15" s="184"/>
      <c r="AS15" s="119"/>
      <c r="AT15" s="119"/>
      <c r="AU15" s="119"/>
      <c r="AV15" s="185" t="str">
        <f>A13</f>
        <v>Buzzoni Nicolò   -   Pol. Oratorio Pian Camuno A.S.D.</v>
      </c>
      <c r="AW15" s="186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s="13" customFormat="1" ht="24" customHeight="1">
      <c r="A16" s="192" t="str">
        <f>IF(BZ5=MAX(BZ5:BZ8),AV5,IF(BZ6=MAX(BZ5:BZ8),AV6,IF(BZ7=MAX(BZ5:BZ8),AV7,IF(BZ8=MAX(BZ5:BZ8),AV8,AV8))))</f>
        <v>Lazzaroni Mathias   -   Tennis Tavolo Coniolo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4">
        <f>IF(A16=AV5,BC5,IF(A16=AV6,BC6,IF(A16=AV7,BC7,IF(A16=AV8,BC8,"0"))))</f>
        <v>0</v>
      </c>
      <c r="AA16" s="194"/>
      <c r="AB16" s="194"/>
      <c r="AC16" s="179">
        <f>IF(A16=AV5,BG5,IF(A16=AV6,BG6,IF(A16=AV7,BG7,IF(A16=AV8,BG8,"0"))))</f>
        <v>0</v>
      </c>
      <c r="AD16" s="179"/>
      <c r="AE16" s="179">
        <f>IF(A16=AV5,BK5,IF(A16=AV6,BK6,IF(A16=AV7,BK7,IF(A16=AV8,BK8,"0"))))</f>
        <v>0</v>
      </c>
      <c r="AF16" s="179"/>
      <c r="AG16" s="179">
        <f>IF(A16=AV5,BL5,IF(A16=AV6,BL6,IF(A16=AV7,BL7,IF(A16=AV8,BL8,"0"))))</f>
        <v>0</v>
      </c>
      <c r="AH16" s="179"/>
      <c r="AI16" s="179">
        <f>IF(A16=AV5,BM5,IF(A16=AV6,BM6,IF(A16=AV7,BM7,IF(A16=AV8,BM8,"0"))))</f>
        <v>0</v>
      </c>
      <c r="AJ16" s="179"/>
      <c r="AK16" s="179">
        <f>SUM(AG16-AI16)</f>
        <v>0</v>
      </c>
      <c r="AL16" s="179"/>
      <c r="AM16" s="179">
        <f>IF(A16=AV5,BO5,IF(A16=AV6,BO6,IF(A16=AV7,BO7,IF(A16=AV8,BO8,"0"))))</f>
        <v>0</v>
      </c>
      <c r="AN16" s="179"/>
      <c r="AO16" s="179">
        <f>IF(A16=AV5,BP5,IF(A16=AV6,BP6,IF(A16=AV7,BP7,IF(A16=AV8,BP8,"0"))))</f>
        <v>0</v>
      </c>
      <c r="AP16" s="179"/>
      <c r="AQ16" s="179">
        <f>SUM(AM16-AO16)</f>
        <v>0</v>
      </c>
      <c r="AR16" s="180"/>
      <c r="AS16" s="119"/>
      <c r="AT16" s="119"/>
      <c r="AU16" s="119"/>
      <c r="AV16" s="181" t="str">
        <f>A14</f>
        <v>Ottelli Daniel   -   Pol. Oratorio Pian Camuno A.S.D.</v>
      </c>
      <c r="AW16" s="182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  <row r="17" spans="1:78" s="13" customFormat="1" ht="9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105"/>
      <c r="AT17" s="105"/>
      <c r="AU17" s="105"/>
      <c r="AV17" s="164"/>
      <c r="AW17" s="164"/>
      <c r="BD17" s="15"/>
      <c r="BE17" s="15"/>
      <c r="BF17" s="15"/>
      <c r="BG17" s="15"/>
      <c r="BH17" s="15"/>
      <c r="BI17" s="15"/>
      <c r="BJ17" s="15"/>
      <c r="BK17" s="15"/>
      <c r="BL17" s="15">
        <v>5</v>
      </c>
      <c r="BM17" s="15"/>
      <c r="BN17" s="15">
        <v>100</v>
      </c>
      <c r="BO17" s="15">
        <v>1</v>
      </c>
      <c r="BP17" s="15"/>
      <c r="BQ17" s="15">
        <v>10</v>
      </c>
      <c r="BR17" s="15">
        <v>1000</v>
      </c>
      <c r="BS17" s="15"/>
      <c r="BT17" s="15"/>
      <c r="BU17" s="15"/>
      <c r="BV17" s="15"/>
      <c r="BW17" s="15"/>
      <c r="BX17" s="15"/>
      <c r="BY17" s="15"/>
      <c r="BZ17" s="15"/>
    </row>
    <row r="18" spans="1:85" s="13" customFormat="1" ht="24" customHeight="1">
      <c r="A18" s="223" t="str">
        <f>A3</f>
        <v>Cat. UNDER 13 M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 t="s">
        <v>69</v>
      </c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77"/>
      <c r="AJ18" s="77"/>
      <c r="AK18" s="224"/>
      <c r="AL18" s="224"/>
      <c r="AM18" s="224"/>
      <c r="AN18" s="224"/>
      <c r="AO18" s="224"/>
      <c r="AP18" s="224"/>
      <c r="AQ18" s="224"/>
      <c r="AR18" s="224"/>
      <c r="AS18" s="106"/>
      <c r="AT18" s="106"/>
      <c r="AU18" s="106"/>
      <c r="AV18" s="165"/>
      <c r="AW18" s="220" t="s">
        <v>49</v>
      </c>
      <c r="AX18" s="220"/>
      <c r="AY18" s="220"/>
      <c r="AZ18" s="220"/>
      <c r="BA18" s="220"/>
      <c r="BB18" s="220"/>
      <c r="BC18" s="220"/>
      <c r="BD18" s="221" t="s">
        <v>2</v>
      </c>
      <c r="BE18" s="221"/>
      <c r="BF18" s="221"/>
      <c r="BG18" s="221"/>
      <c r="BH18" s="225" t="s">
        <v>3</v>
      </c>
      <c r="BI18" s="225"/>
      <c r="BJ18" s="225"/>
      <c r="BK18" s="225"/>
      <c r="BL18" s="216" t="s">
        <v>4</v>
      </c>
      <c r="BM18" s="216"/>
      <c r="BN18" s="216"/>
      <c r="BO18" s="216" t="s">
        <v>5</v>
      </c>
      <c r="BP18" s="216"/>
      <c r="BQ18" s="216"/>
      <c r="BR18" s="174" t="s">
        <v>81</v>
      </c>
      <c r="BS18" s="175"/>
      <c r="BT18" s="175"/>
      <c r="BU18" s="175"/>
      <c r="BV18" s="175"/>
      <c r="BW18" s="175"/>
      <c r="BX18" s="175"/>
      <c r="BY18" s="175"/>
      <c r="BZ18" s="176"/>
      <c r="CA18" s="177" t="s">
        <v>70</v>
      </c>
      <c r="CB18" s="178"/>
      <c r="CC18" s="178"/>
      <c r="CD18" s="178"/>
      <c r="CE18" s="178"/>
      <c r="CF18" s="48"/>
      <c r="CG18" s="49"/>
    </row>
    <row r="19" spans="1:85" s="13" customFormat="1" ht="18.75" customHeight="1">
      <c r="A19" s="9" t="s">
        <v>82</v>
      </c>
      <c r="B19" s="156" t="s">
        <v>66</v>
      </c>
      <c r="C19" s="217" t="s">
        <v>48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8" t="s">
        <v>38</v>
      </c>
      <c r="AH19" s="218"/>
      <c r="AI19" s="218" t="s">
        <v>39</v>
      </c>
      <c r="AJ19" s="218"/>
      <c r="AK19" s="218" t="s">
        <v>40</v>
      </c>
      <c r="AL19" s="218"/>
      <c r="AM19" s="218" t="s">
        <v>41</v>
      </c>
      <c r="AN19" s="218"/>
      <c r="AO19" s="218" t="s">
        <v>42</v>
      </c>
      <c r="AP19" s="218"/>
      <c r="AQ19" s="219" t="s">
        <v>43</v>
      </c>
      <c r="AR19" s="219"/>
      <c r="AS19" s="8"/>
      <c r="AT19" s="8"/>
      <c r="AU19" s="8"/>
      <c r="AV19" s="165"/>
      <c r="AW19" s="166" t="s">
        <v>6</v>
      </c>
      <c r="AX19" s="107" t="s">
        <v>7</v>
      </c>
      <c r="AY19" s="107" t="s">
        <v>8</v>
      </c>
      <c r="AZ19" s="107" t="s">
        <v>83</v>
      </c>
      <c r="BA19" s="107" t="s">
        <v>84</v>
      </c>
      <c r="BB19" s="107" t="s">
        <v>85</v>
      </c>
      <c r="BC19" s="108" t="s">
        <v>9</v>
      </c>
      <c r="BD19" s="79" t="s">
        <v>86</v>
      </c>
      <c r="BE19" s="79" t="s">
        <v>87</v>
      </c>
      <c r="BF19" s="79" t="s">
        <v>88</v>
      </c>
      <c r="BG19" s="79" t="s">
        <v>89</v>
      </c>
      <c r="BH19" s="79" t="s">
        <v>86</v>
      </c>
      <c r="BI19" s="79" t="s">
        <v>87</v>
      </c>
      <c r="BJ19" s="79" t="s">
        <v>88</v>
      </c>
      <c r="BK19" s="81" t="s">
        <v>90</v>
      </c>
      <c r="BL19" s="82" t="s">
        <v>91</v>
      </c>
      <c r="BM19" s="82" t="s">
        <v>92</v>
      </c>
      <c r="BN19" s="82" t="s">
        <v>93</v>
      </c>
      <c r="BO19" s="83" t="s">
        <v>11</v>
      </c>
      <c r="BP19" s="83" t="s">
        <v>12</v>
      </c>
      <c r="BQ19" s="83" t="s">
        <v>13</v>
      </c>
      <c r="BR19" s="83" t="s">
        <v>107</v>
      </c>
      <c r="BS19" s="83" t="s">
        <v>10</v>
      </c>
      <c r="BT19" s="83" t="s">
        <v>13</v>
      </c>
      <c r="BU19" s="83" t="s">
        <v>108</v>
      </c>
      <c r="BV19" s="83" t="s">
        <v>11</v>
      </c>
      <c r="BW19" s="84" t="s">
        <v>94</v>
      </c>
      <c r="BX19" s="85" t="s">
        <v>95</v>
      </c>
      <c r="BY19" s="85" t="s">
        <v>96</v>
      </c>
      <c r="BZ19" s="85" t="s">
        <v>97</v>
      </c>
      <c r="CA19" s="54" t="s">
        <v>71</v>
      </c>
      <c r="CB19" s="54" t="s">
        <v>72</v>
      </c>
      <c r="CC19" s="54" t="s">
        <v>73</v>
      </c>
      <c r="CD19" s="54" t="s">
        <v>74</v>
      </c>
      <c r="CE19" s="54" t="s">
        <v>75</v>
      </c>
      <c r="CF19" s="54" t="s">
        <v>76</v>
      </c>
      <c r="CG19" s="54" t="s">
        <v>77</v>
      </c>
    </row>
    <row r="20" spans="1:85" s="13" customFormat="1" ht="30" customHeight="1">
      <c r="A20" s="50">
        <v>7</v>
      </c>
      <c r="B20" s="157">
        <v>14.3</v>
      </c>
      <c r="C20" s="86" t="s">
        <v>19</v>
      </c>
      <c r="D20" s="211" t="str">
        <f>REPT('lista di qualificazione'!B5,1)</f>
        <v>Fanchini Cristian   -   Pol. Oratorio Pian Camuno A.S.D.</v>
      </c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2"/>
      <c r="R20" s="87" t="s">
        <v>32</v>
      </c>
      <c r="S20" s="213" t="str">
        <f>REPT(D22,1)</f>
        <v>Bettelli Simone   -   Tennis Tavolo Coniolo</v>
      </c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51"/>
      <c r="AH20" s="52"/>
      <c r="AI20" s="53"/>
      <c r="AJ20" s="41"/>
      <c r="AK20" s="51"/>
      <c r="AL20" s="52"/>
      <c r="AM20" s="53"/>
      <c r="AN20" s="41"/>
      <c r="AO20" s="51"/>
      <c r="AP20" s="65"/>
      <c r="AQ20" s="66">
        <f aca="true" t="shared" si="9" ref="AQ20:AQ25">IF(AG20="","",IF(AG20&lt;&gt;"",CF20))</f>
      </c>
      <c r="AR20" s="66">
        <f aca="true" t="shared" si="10" ref="AR20:AR25">IF(AG20="","",IF(AG20&lt;&gt;"",CG20))</f>
      </c>
      <c r="AS20" s="109"/>
      <c r="AT20" s="109"/>
      <c r="AU20" s="109"/>
      <c r="AV20" s="167" t="str">
        <f>REPT(D20,1)</f>
        <v>Fanchini Cristian   -   Pol. Oratorio Pian Camuno A.S.D.</v>
      </c>
      <c r="AW20" s="132" t="str">
        <f>IF(AQ20="","0",IF(AQ20&gt;AR20,"2",IF(AQ20&lt;AR20,"0","")))</f>
        <v>0</v>
      </c>
      <c r="AX20" s="110"/>
      <c r="AY20" s="111"/>
      <c r="AZ20" s="9" t="str">
        <f>IF(AR23="","0",IF(AQ23&gt;AR23,"0",IF(AQ23&lt;AR23,"2","")))</f>
        <v>0</v>
      </c>
      <c r="BA20" s="9" t="str">
        <f>IF(AR24="","0",IF(AQ24&gt;AR24,"0",IF(AQ24&lt;AR24,"2","")))</f>
        <v>0</v>
      </c>
      <c r="BB20" s="111"/>
      <c r="BC20" s="112">
        <f>SUM(AW20+AZ20+BA20)</f>
        <v>0</v>
      </c>
      <c r="BD20" s="78" t="str">
        <f>IF(AW20="2","1","0")</f>
        <v>0</v>
      </c>
      <c r="BE20" s="78" t="str">
        <f>IF(AZ20="2","1","0")</f>
        <v>0</v>
      </c>
      <c r="BF20" s="78" t="str">
        <f>IF(BA20="2","1","0")</f>
        <v>0</v>
      </c>
      <c r="BG20" s="88">
        <f>SUM(BD20+BE20+BF20)</f>
        <v>0</v>
      </c>
      <c r="BH20" s="78" t="str">
        <f>IF(AW20&gt;AW22,"0",IF(AW20&lt;AW22,"1","0"))</f>
        <v>0</v>
      </c>
      <c r="BI20" s="78" t="str">
        <f>IF(AZ20&gt;AZ23,"0",IF(AZ20&lt;AZ23,"1","0"))</f>
        <v>0</v>
      </c>
      <c r="BJ20" s="78" t="str">
        <f>IF(BA20&gt;BA21,"0",IF(BA20&lt;BA21,"1","0"))</f>
        <v>0</v>
      </c>
      <c r="BK20" s="88">
        <f>SUM(BH20+BI20+BJ20)</f>
        <v>0</v>
      </c>
      <c r="BL20" s="89">
        <f>SUM(CF20+CG23+CG24)</f>
        <v>0</v>
      </c>
      <c r="BM20" s="89">
        <f>SUM(CG20+CF23+CF24)</f>
        <v>0</v>
      </c>
      <c r="BN20" s="80">
        <f>SUM(BL20-BM20)</f>
        <v>0</v>
      </c>
      <c r="BO20" s="80">
        <f>SUM(AG20+AI20+AK20+AM20+AO20+AH23+AJ23+AL23+AN23+AP23+AH24+AJ24+AL24+AN24+AP24)</f>
        <v>0</v>
      </c>
      <c r="BP20" s="80">
        <f>SUM(AH20+AJ20+AL20+AN20+AP20+AG23+AI23+AK23+AM23+AO23+AG24+AI24+AK24+AM24+AO24)</f>
        <v>0</v>
      </c>
      <c r="BQ20" s="80">
        <f>SUM(BO20-BP20)</f>
        <v>0</v>
      </c>
      <c r="BR20" s="90">
        <f>BC20*BR17</f>
        <v>0</v>
      </c>
      <c r="BS20" s="90">
        <f>SUM(BN20*BN17)</f>
        <v>0</v>
      </c>
      <c r="BT20" s="90">
        <f>SUM(BQ20*BQ17)</f>
        <v>0</v>
      </c>
      <c r="BU20" s="90">
        <f>SUM(BL20*BL17)</f>
        <v>0</v>
      </c>
      <c r="BV20" s="90">
        <f>SUM(BO20*BO17)</f>
        <v>0</v>
      </c>
      <c r="BW20" s="91">
        <f>SUM(BR20+BS20+BT20+BU20+BV20)</f>
        <v>0</v>
      </c>
      <c r="BX20" s="90">
        <f>IF(BW20&lt;MAX(BW20:BW23),BW20,"")</f>
      </c>
      <c r="BY20" s="90">
        <f>IF(BX20&lt;MAX(BX20:BX23),BX20,"")</f>
      </c>
      <c r="BZ20" s="90">
        <f>IF(BY20&lt;MAX(BY20:BY23),BY20,"")</f>
      </c>
      <c r="CA20" s="59">
        <f aca="true" t="shared" si="11" ref="CA20:CA25">IF(AND(AG20&lt;&gt;"",AH20&lt;&gt;""),IF(AG20&gt;AH20,"c","f"),0)</f>
        <v>0</v>
      </c>
      <c r="CB20" s="59">
        <f aca="true" t="shared" si="12" ref="CB20:CB25">IF(AND(AI20&lt;&gt;"",AJ20&lt;&gt;""),IF(AI20&gt;AJ20,"c","f"),0)</f>
        <v>0</v>
      </c>
      <c r="CC20" s="59">
        <f aca="true" t="shared" si="13" ref="CC20:CC25">IF(AND(AK20&lt;&gt;"",AL20&lt;&gt;""),IF(AK20&gt;AL20,"c","f"),0)</f>
        <v>0</v>
      </c>
      <c r="CD20" s="59">
        <f aca="true" t="shared" si="14" ref="CD20:CD25">IF(AND(AM20&lt;&gt;"",AN20&lt;&gt;""),IF(AM20&gt;AN20,"c","f"),0)</f>
        <v>0</v>
      </c>
      <c r="CE20" s="59">
        <f aca="true" t="shared" si="15" ref="CE20:CE25">IF(AND(AO20&lt;&gt;"",AP20&lt;&gt;""),IF(AO20&gt;AP20,"c","f"),0)</f>
        <v>0</v>
      </c>
      <c r="CF20" s="59">
        <f aca="true" t="shared" si="16" ref="CF20:CF25">COUNTIF(CA20:CE20,"c")</f>
        <v>0</v>
      </c>
      <c r="CG20" s="59">
        <f aca="true" t="shared" si="17" ref="CG20:CG25">COUNTIF(CA20:CE20,"f")</f>
        <v>0</v>
      </c>
    </row>
    <row r="21" spans="1:85" s="13" customFormat="1" ht="30" customHeight="1">
      <c r="A21" s="55"/>
      <c r="B21" s="158"/>
      <c r="C21" s="92" t="s">
        <v>20</v>
      </c>
      <c r="D21" s="203" t="str">
        <f>REPT('lista di qualificazione'!B6,1)</f>
        <v>Tempini Lorenzo   -   Pol. Oratorio Pian Camuno A.S.D.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93" t="s">
        <v>32</v>
      </c>
      <c r="S21" s="205" t="str">
        <f>REPT(D23,1)</f>
        <v>Loda Giorgio   -   Tennis Tavolo Coniolo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7"/>
      <c r="AG21" s="56"/>
      <c r="AH21" s="57"/>
      <c r="AI21" s="58"/>
      <c r="AJ21" s="42"/>
      <c r="AK21" s="56"/>
      <c r="AL21" s="57"/>
      <c r="AM21" s="58"/>
      <c r="AN21" s="42"/>
      <c r="AO21" s="56"/>
      <c r="AP21" s="42"/>
      <c r="AQ21" s="66">
        <f t="shared" si="9"/>
      </c>
      <c r="AR21" s="66">
        <f t="shared" si="10"/>
      </c>
      <c r="AS21" s="109"/>
      <c r="AT21" s="109"/>
      <c r="AU21" s="109"/>
      <c r="AV21" s="167" t="str">
        <f>REPT(D21,1)</f>
        <v>Tempini Lorenzo   -   Pol. Oratorio Pian Camuno A.S.D.</v>
      </c>
      <c r="AW21" s="132"/>
      <c r="AX21" s="9" t="str">
        <f>IF(AQ21="","0",IF(AQ21&gt;AR21,"2",IF(AQ21&lt;AR21,"0","")))</f>
        <v>0</v>
      </c>
      <c r="AY21" s="9" t="str">
        <f>IF(AR22="","0",IF(AQ22&gt;AR22,"0",IF(AQ22&lt;AR22,"2","")))</f>
        <v>0</v>
      </c>
      <c r="AZ21" s="110"/>
      <c r="BA21" s="9" t="str">
        <f>IF(AQ24="","0",IF(AR24&gt;AQ24,"0",IF(AR24&lt;AQ24,"2","")))</f>
        <v>0</v>
      </c>
      <c r="BB21" s="111"/>
      <c r="BC21" s="112">
        <f>SUM(AX21+AY21+BA21)</f>
        <v>0</v>
      </c>
      <c r="BD21" s="78" t="str">
        <f>IF(AX21="2","1","0")</f>
        <v>0</v>
      </c>
      <c r="BE21" s="78" t="str">
        <f>IF(AY21="2","1","0")</f>
        <v>0</v>
      </c>
      <c r="BF21" s="78" t="str">
        <f>IF(BA21="2","1","0")</f>
        <v>0</v>
      </c>
      <c r="BG21" s="88">
        <f>SUM(BD21+BE21+BF21)</f>
        <v>0</v>
      </c>
      <c r="BH21" s="78" t="str">
        <f>IF(AX21&gt;AX23,"0",IF(AX21&lt;AX23,"1","0"))</f>
        <v>0</v>
      </c>
      <c r="BI21" s="78" t="str">
        <f>IF(AY21&gt;AY22,"0",IF(AY21&lt;AY22,"1","0"))</f>
        <v>0</v>
      </c>
      <c r="BJ21" s="78" t="str">
        <f>IF(BA21&gt;BA20,"0",IF(BA21&lt;BA20,"1","0"))</f>
        <v>0</v>
      </c>
      <c r="BK21" s="88">
        <f>SUM(BH21+BI21+BJ21)</f>
        <v>0</v>
      </c>
      <c r="BL21" s="89">
        <f>SUM(CF21+CG22+CF24)</f>
        <v>0</v>
      </c>
      <c r="BM21" s="89">
        <f>SUM(CG21+CF22+CG24)</f>
        <v>0</v>
      </c>
      <c r="BN21" s="80">
        <f>SUM(BL21-BM21)</f>
        <v>0</v>
      </c>
      <c r="BO21" s="80">
        <f>SUM(AG21+AI21+AK21+AM21+AO21+AH22+AJ22+AL22+AN22+AP22+AG24+AI24+AK24+AM24+AO24)</f>
        <v>0</v>
      </c>
      <c r="BP21" s="80">
        <f>SUM(AH21+AJ21+AL21+AN21+AP21+AG22+AI22+AK22+AM22+AO22+AH24+AJ24+AL24+AN24+AP24)</f>
        <v>0</v>
      </c>
      <c r="BQ21" s="80">
        <f>SUM(BO21-BP21)</f>
        <v>0</v>
      </c>
      <c r="BR21" s="90">
        <f>BC21*BR17</f>
        <v>0</v>
      </c>
      <c r="BS21" s="90">
        <f>SUM(BN21*BN17)</f>
        <v>0</v>
      </c>
      <c r="BT21" s="90">
        <f>SUM(BQ21*BQ17)</f>
        <v>0</v>
      </c>
      <c r="BU21" s="90">
        <f>SUM(BL21*BL17)</f>
        <v>0</v>
      </c>
      <c r="BV21" s="90">
        <f>SUM(BO21*BO17)</f>
        <v>0</v>
      </c>
      <c r="BW21" s="91">
        <f>SUM(BR21+BS21+BT21+BU21+BV21)</f>
        <v>0</v>
      </c>
      <c r="BX21" s="90">
        <f>IF(BW21&lt;MAX(BW20:BW23),BW21,"")</f>
      </c>
      <c r="BY21" s="90">
        <f>IF(BX21&lt;MAX(BX20:BX23),BX21,"")</f>
      </c>
      <c r="BZ21" s="90">
        <f>IF(BY21&lt;MAX(BY20:BY23),BY21,"")</f>
      </c>
      <c r="CA21" s="59">
        <f t="shared" si="11"/>
        <v>0</v>
      </c>
      <c r="CB21" s="59">
        <f t="shared" si="12"/>
        <v>0</v>
      </c>
      <c r="CC21" s="59">
        <f t="shared" si="13"/>
        <v>0</v>
      </c>
      <c r="CD21" s="59">
        <f t="shared" si="14"/>
        <v>0</v>
      </c>
      <c r="CE21" s="59">
        <f t="shared" si="15"/>
        <v>0</v>
      </c>
      <c r="CF21" s="59">
        <f t="shared" si="16"/>
        <v>0</v>
      </c>
      <c r="CG21" s="59">
        <f t="shared" si="17"/>
        <v>0</v>
      </c>
    </row>
    <row r="22" spans="1:85" s="13" customFormat="1" ht="30" customHeight="1">
      <c r="A22" s="55"/>
      <c r="B22" s="158"/>
      <c r="C22" s="92" t="s">
        <v>21</v>
      </c>
      <c r="D22" s="203" t="str">
        <f>REPT('lista di qualificazione'!B8,1)</f>
        <v>Bettelli Simone   -   Tennis Tavolo Coniolo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R22" s="93" t="s">
        <v>32</v>
      </c>
      <c r="S22" s="205" t="str">
        <f>REPT(D21,1)</f>
        <v>Tempini Lorenzo   -   Pol. Oratorio Pian Camuno A.S.D.</v>
      </c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7"/>
      <c r="AG22" s="56"/>
      <c r="AH22" s="57"/>
      <c r="AI22" s="58"/>
      <c r="AJ22" s="42"/>
      <c r="AK22" s="56"/>
      <c r="AL22" s="57"/>
      <c r="AM22" s="58"/>
      <c r="AN22" s="42"/>
      <c r="AO22" s="56"/>
      <c r="AP22" s="42"/>
      <c r="AQ22" s="66">
        <f t="shared" si="9"/>
      </c>
      <c r="AR22" s="66">
        <f t="shared" si="10"/>
      </c>
      <c r="AS22" s="109"/>
      <c r="AT22" s="109"/>
      <c r="AU22" s="109"/>
      <c r="AV22" s="167" t="str">
        <f>REPT(D22,1)</f>
        <v>Bettelli Simone   -   Tennis Tavolo Coniolo</v>
      </c>
      <c r="AW22" s="132" t="str">
        <f>IF(AR20="","0",IF(AQ20&gt;AR20,"0",IF(AR20&gt;AQ20,"2","")))</f>
        <v>0</v>
      </c>
      <c r="AX22" s="111"/>
      <c r="AY22" s="9" t="str">
        <f>IF(AQ22="","0",IF(AQ22&gt;AR22,"2",IF(AQ22&lt;AR22,"0","")))</f>
        <v>0</v>
      </c>
      <c r="AZ22" s="111"/>
      <c r="BA22" s="111"/>
      <c r="BB22" s="9" t="str">
        <f>IF(AQ25="","0",IF(AR25&gt;AQ25,"0",IF(AR25&lt;AQ25,"2","")))</f>
        <v>0</v>
      </c>
      <c r="BC22" s="112">
        <f>SUM(AW22+AY22+BB22)</f>
        <v>0</v>
      </c>
      <c r="BD22" s="78" t="str">
        <f>IF(AW22="2","1","0")</f>
        <v>0</v>
      </c>
      <c r="BE22" s="78" t="str">
        <f>IF(AY22="2","1","0")</f>
        <v>0</v>
      </c>
      <c r="BF22" s="78" t="str">
        <f>IF(BB22="2","1","0")</f>
        <v>0</v>
      </c>
      <c r="BG22" s="88">
        <f>SUM(BD22+BE22+BF22)</f>
        <v>0</v>
      </c>
      <c r="BH22" s="78" t="str">
        <f>IF(AW22&gt;AW20,"0",IF(AW22&lt;AW20,"1","0"))</f>
        <v>0</v>
      </c>
      <c r="BI22" s="78" t="str">
        <f>IF(AY22&gt;AY21,"0",IF(AY22&lt;AY21,"1","0"))</f>
        <v>0</v>
      </c>
      <c r="BJ22" s="78" t="str">
        <f>IF(BB22&gt;BB23,"0",IF(BB22&lt;BB23,"1","0"))</f>
        <v>0</v>
      </c>
      <c r="BK22" s="88">
        <f>SUM(BH22+BI22+BJ22)</f>
        <v>0</v>
      </c>
      <c r="BL22" s="89">
        <f>SUM(CG20+CF22+CF25)</f>
        <v>0</v>
      </c>
      <c r="BM22" s="89">
        <f>SUM(CF20+CG22+CG25)</f>
        <v>0</v>
      </c>
      <c r="BN22" s="80">
        <f>SUM(BL22-BM22)</f>
        <v>0</v>
      </c>
      <c r="BO22" s="80">
        <f>SUM(AH20+AJ20+AL20+AN20+AP20+AG22+AI22+AK22+AM22+AO22+AG25+AI25+AK25+AM25+AO25)</f>
        <v>0</v>
      </c>
      <c r="BP22" s="80">
        <f>SUM(AG20+AI20+AK20+AM20+AO20+AH22+AJ22+AL22+AN22+AP22+AH25+AJ25+AL25+AN25+AP25)</f>
        <v>0</v>
      </c>
      <c r="BQ22" s="80">
        <f>SUM(BO22-BP22)</f>
        <v>0</v>
      </c>
      <c r="BR22" s="90">
        <f>BC22*BR17</f>
        <v>0</v>
      </c>
      <c r="BS22" s="90">
        <f>SUM(BN22*BN17)</f>
        <v>0</v>
      </c>
      <c r="BT22" s="90">
        <f>SUM(BQ22*BQ17)</f>
        <v>0</v>
      </c>
      <c r="BU22" s="90">
        <f>SUM(BL22*BL17)</f>
        <v>0</v>
      </c>
      <c r="BV22" s="90">
        <f>SUM(BO22*BO17)</f>
        <v>0</v>
      </c>
      <c r="BW22" s="91">
        <f>SUM(BR22+BS22+BT22+BU22+BV22)</f>
        <v>0</v>
      </c>
      <c r="BX22" s="90">
        <f>IF(BW22&lt;MAX(BW20:BW23),BW22,"")</f>
      </c>
      <c r="BY22" s="90">
        <f>IF(BX22&lt;MAX(BX20:BX23),BX22,"")</f>
      </c>
      <c r="BZ22" s="90">
        <f>IF(BY22&lt;MAX(BY20:BY23),BY22,"")</f>
      </c>
      <c r="CA22" s="59">
        <f t="shared" si="11"/>
        <v>0</v>
      </c>
      <c r="CB22" s="59">
        <f t="shared" si="12"/>
        <v>0</v>
      </c>
      <c r="CC22" s="59">
        <f t="shared" si="13"/>
        <v>0</v>
      </c>
      <c r="CD22" s="59">
        <f t="shared" si="14"/>
        <v>0</v>
      </c>
      <c r="CE22" s="59">
        <f t="shared" si="15"/>
        <v>0</v>
      </c>
      <c r="CF22" s="59">
        <f t="shared" si="16"/>
        <v>0</v>
      </c>
      <c r="CG22" s="59">
        <f t="shared" si="17"/>
        <v>0</v>
      </c>
    </row>
    <row r="23" spans="1:85" s="13" customFormat="1" ht="30" customHeight="1" thickBot="1">
      <c r="A23" s="55"/>
      <c r="B23" s="158"/>
      <c r="C23" s="92" t="s">
        <v>98</v>
      </c>
      <c r="D23" s="203" t="str">
        <f>REPT('lista di qualificazione'!B10,1)</f>
        <v>Loda Giorgio   -   Tennis Tavolo Coniolo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93" t="s">
        <v>32</v>
      </c>
      <c r="S23" s="205" t="str">
        <f>REPT(D20,1)</f>
        <v>Fanchini Cristian   -   Pol. Oratorio Pian Camuno A.S.D.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7"/>
      <c r="AG23" s="56"/>
      <c r="AH23" s="57"/>
      <c r="AI23" s="58"/>
      <c r="AJ23" s="42"/>
      <c r="AK23" s="56"/>
      <c r="AL23" s="57"/>
      <c r="AM23" s="58"/>
      <c r="AN23" s="42"/>
      <c r="AO23" s="56"/>
      <c r="AP23" s="42"/>
      <c r="AQ23" s="66">
        <f t="shared" si="9"/>
      </c>
      <c r="AR23" s="66">
        <f t="shared" si="10"/>
      </c>
      <c r="AS23" s="109"/>
      <c r="AT23" s="109"/>
      <c r="AU23" s="109"/>
      <c r="AV23" s="167" t="str">
        <f>REPT(D23,1)</f>
        <v>Loda Giorgio   -   Tennis Tavolo Coniolo</v>
      </c>
      <c r="AW23" s="168"/>
      <c r="AX23" s="9" t="str">
        <f>IF(AR21="","0",IF(AQ21&gt;AR21,"0",IF(AQ21&lt;AR21,"2","")))</f>
        <v>0</v>
      </c>
      <c r="AY23" s="111"/>
      <c r="AZ23" s="9" t="str">
        <f>IF(AQ23="","0",IF(AR23&gt;AQ23,"0",IF(AR23&lt;AQ23,"2","")))</f>
        <v>0</v>
      </c>
      <c r="BA23" s="111"/>
      <c r="BB23" s="9" t="str">
        <f>IF(AQ25="","0",IF(AR25&gt;AQ25,"2",IF(AR25&lt;AQ25,"0","")))</f>
        <v>0</v>
      </c>
      <c r="BC23" s="112">
        <f>SUM(AX23+AZ23+BB23)</f>
        <v>0</v>
      </c>
      <c r="BD23" s="78" t="str">
        <f>IF(AX23="2","1","0")</f>
        <v>0</v>
      </c>
      <c r="BE23" s="78" t="str">
        <f>IF(AZ23="2","1","0")</f>
        <v>0</v>
      </c>
      <c r="BF23" s="78" t="str">
        <f>IF(BB23="2","1","0")</f>
        <v>0</v>
      </c>
      <c r="BG23" s="88">
        <f>SUM(BD23+BE23+BF23)</f>
        <v>0</v>
      </c>
      <c r="BH23" s="78" t="str">
        <f>IF(AX23&gt;AX21,"0",IF(AX23&lt;AX21,"1","0"))</f>
        <v>0</v>
      </c>
      <c r="BI23" s="78" t="str">
        <f>IF(AZ23&gt;AZ20,"0",IF(AZ23&lt;AZ20,"1","0"))</f>
        <v>0</v>
      </c>
      <c r="BJ23" s="78" t="str">
        <f>IF(BB23&gt;BB22,"0",IF(BB23&lt;BB22,"1","0"))</f>
        <v>0</v>
      </c>
      <c r="BK23" s="88">
        <f>SUM(BH23+BI23+BJ23)</f>
        <v>0</v>
      </c>
      <c r="BL23" s="89">
        <f>SUM(CG21+CF23+CG25)</f>
        <v>0</v>
      </c>
      <c r="BM23" s="89">
        <f>SUM(CF21+CG23+CF25)</f>
        <v>0</v>
      </c>
      <c r="BN23" s="80">
        <f>SUM(BL23-BM23)</f>
        <v>0</v>
      </c>
      <c r="BO23" s="80">
        <f>SUM(AH21+AJ21+AL21+AN21+AP21+AG23+AI23+AK23+AM23+AO23+AH25+AJ25+AL25+AN25+AP25)</f>
        <v>0</v>
      </c>
      <c r="BP23" s="80">
        <f>SUM(AG21+AI21+AK21+AM21+AO21+AH23+AJ23+AL23+AN23+AP23+AG25+AI25+AK25+AM25+AO25)</f>
        <v>0</v>
      </c>
      <c r="BQ23" s="80">
        <f>SUM(BO23-BP23)</f>
        <v>0</v>
      </c>
      <c r="BR23" s="90">
        <f>BC23*BR17</f>
        <v>0</v>
      </c>
      <c r="BS23" s="90">
        <f>SUM(BN23*BN17)</f>
        <v>0</v>
      </c>
      <c r="BT23" s="90">
        <f>SUM(BQ23*BQ17)</f>
        <v>0</v>
      </c>
      <c r="BU23" s="90">
        <f>SUM(BL23*BL17)</f>
        <v>0</v>
      </c>
      <c r="BV23" s="90">
        <f>SUM(BO23*BO17)</f>
        <v>0</v>
      </c>
      <c r="BW23" s="91">
        <f>SUM(BR23+BS23+BT23+BU23+BV23)</f>
        <v>0</v>
      </c>
      <c r="BX23" s="90">
        <f>IF(BW23&lt;MAX(BW20:BW23),BW23,"")</f>
      </c>
      <c r="BY23" s="90">
        <f>IF(BX23&lt;MAX(BX20:BX23),BX23,"")</f>
      </c>
      <c r="BZ23" s="90">
        <f>IF(BY23&lt;MAX(BY20:BY23),BY23,"")</f>
      </c>
      <c r="CA23" s="59">
        <f t="shared" si="11"/>
        <v>0</v>
      </c>
      <c r="CB23" s="59">
        <f t="shared" si="12"/>
        <v>0</v>
      </c>
      <c r="CC23" s="59">
        <f t="shared" si="13"/>
        <v>0</v>
      </c>
      <c r="CD23" s="59">
        <f t="shared" si="14"/>
        <v>0</v>
      </c>
      <c r="CE23" s="59">
        <f t="shared" si="15"/>
        <v>0</v>
      </c>
      <c r="CF23" s="59">
        <f t="shared" si="16"/>
        <v>0</v>
      </c>
      <c r="CG23" s="59">
        <f t="shared" si="17"/>
        <v>0</v>
      </c>
    </row>
    <row r="24" spans="1:85" s="13" customFormat="1" ht="30" customHeight="1">
      <c r="A24" s="55"/>
      <c r="B24" s="158"/>
      <c r="C24" s="92" t="s">
        <v>99</v>
      </c>
      <c r="D24" s="206" t="str">
        <f>REPT(D21,1)</f>
        <v>Tempini Lorenzo   -   Pol. Oratorio Pian Camuno A.S.D.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  <c r="R24" s="93" t="s">
        <v>32</v>
      </c>
      <c r="S24" s="205" t="str">
        <f>REPT(D20,1)</f>
        <v>Fanchini Cristian   -   Pol. Oratorio Pian Camuno A.S.D.</v>
      </c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7"/>
      <c r="AG24" s="56"/>
      <c r="AH24" s="57"/>
      <c r="AI24" s="58"/>
      <c r="AJ24" s="42"/>
      <c r="AK24" s="56"/>
      <c r="AL24" s="57"/>
      <c r="AM24" s="58"/>
      <c r="AN24" s="42"/>
      <c r="AO24" s="56"/>
      <c r="AP24" s="42"/>
      <c r="AQ24" s="66">
        <f t="shared" si="9"/>
      </c>
      <c r="AR24" s="66">
        <f t="shared" si="10"/>
      </c>
      <c r="AS24" s="109"/>
      <c r="AT24" s="109"/>
      <c r="AU24" s="109"/>
      <c r="AV24" s="169" t="s">
        <v>28</v>
      </c>
      <c r="AW24" s="170" t="s">
        <v>29</v>
      </c>
      <c r="AX24" s="114" t="s">
        <v>100</v>
      </c>
      <c r="AY24" s="115" t="s">
        <v>101</v>
      </c>
      <c r="BA24" s="116"/>
      <c r="BB24" s="116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15"/>
      <c r="BY24" s="15"/>
      <c r="BZ24" s="15"/>
      <c r="CA24" s="59">
        <f t="shared" si="11"/>
        <v>0</v>
      </c>
      <c r="CB24" s="59">
        <f t="shared" si="12"/>
        <v>0</v>
      </c>
      <c r="CC24" s="59">
        <f t="shared" si="13"/>
        <v>0</v>
      </c>
      <c r="CD24" s="59">
        <f t="shared" si="14"/>
        <v>0</v>
      </c>
      <c r="CE24" s="59">
        <f t="shared" si="15"/>
        <v>0</v>
      </c>
      <c r="CF24" s="59">
        <f t="shared" si="16"/>
        <v>0</v>
      </c>
      <c r="CG24" s="59">
        <f t="shared" si="17"/>
        <v>0</v>
      </c>
    </row>
    <row r="25" spans="1:85" s="13" customFormat="1" ht="30" customHeight="1">
      <c r="A25" s="60"/>
      <c r="B25" s="159"/>
      <c r="C25" s="94" t="s">
        <v>102</v>
      </c>
      <c r="D25" s="208" t="str">
        <f>REPT(D22,1)</f>
        <v>Bettelli Simone   -   Tennis Tavolo Coniolo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9"/>
      <c r="R25" s="95" t="s">
        <v>32</v>
      </c>
      <c r="S25" s="210" t="str">
        <f>REPT(D23,1)</f>
        <v>Loda Giorgio   -   Tennis Tavolo Coniolo</v>
      </c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9"/>
      <c r="AG25" s="61"/>
      <c r="AH25" s="62"/>
      <c r="AI25" s="63"/>
      <c r="AJ25" s="64"/>
      <c r="AK25" s="61"/>
      <c r="AL25" s="62"/>
      <c r="AM25" s="63"/>
      <c r="AN25" s="64"/>
      <c r="AO25" s="61"/>
      <c r="AP25" s="64"/>
      <c r="AQ25" s="66">
        <f t="shared" si="9"/>
      </c>
      <c r="AR25" s="66">
        <f t="shared" si="10"/>
      </c>
      <c r="AS25" s="109"/>
      <c r="AT25" s="109"/>
      <c r="AU25" s="109"/>
      <c r="AV25" s="171" t="str">
        <f>IF(BW20=MAX(BW20:BW23),AV20,"")</f>
        <v>Fanchini Cristian   -   Pol. Oratorio Pian Camuno A.S.D.</v>
      </c>
      <c r="AW25" s="172">
        <f>IF(BX20=MAX(BX20:BX23),AV20,"")</f>
      </c>
      <c r="AX25" s="117">
        <f>IF(BY20=MAX(BY20:BY23),AV20,"")</f>
      </c>
      <c r="AY25" s="118">
        <f>IF(BZ20=MAX(BZ20:BZ23),AV20,"")</f>
      </c>
      <c r="BA25" s="119"/>
      <c r="BB25" s="119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15"/>
      <c r="BY25" s="15"/>
      <c r="BZ25" s="15"/>
      <c r="CA25" s="59">
        <f t="shared" si="11"/>
        <v>0</v>
      </c>
      <c r="CB25" s="59">
        <f t="shared" si="12"/>
        <v>0</v>
      </c>
      <c r="CC25" s="59">
        <f t="shared" si="13"/>
        <v>0</v>
      </c>
      <c r="CD25" s="59">
        <f t="shared" si="14"/>
        <v>0</v>
      </c>
      <c r="CE25" s="59">
        <f t="shared" si="15"/>
        <v>0</v>
      </c>
      <c r="CF25" s="59">
        <f t="shared" si="16"/>
        <v>0</v>
      </c>
      <c r="CG25" s="59">
        <f t="shared" si="17"/>
        <v>0</v>
      </c>
    </row>
    <row r="26" spans="1:78" s="13" customFormat="1" ht="18.75" customHeight="1">
      <c r="A26" s="197" t="s">
        <v>15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8"/>
      <c r="AR26" s="198"/>
      <c r="AS26" s="120"/>
      <c r="AT26" s="120"/>
      <c r="AU26" s="120"/>
      <c r="AV26" s="171" t="str">
        <f>IF(BW21=MAX(BW20:BW23),AV21,"")</f>
        <v>Tempini Lorenzo   -   Pol. Oratorio Pian Camuno A.S.D.</v>
      </c>
      <c r="AW26" s="172">
        <f>IF(BX21=MAX(BX20:BX23),AV21,"")</f>
      </c>
      <c r="AX26" s="117">
        <f>IF(BY21=MAX(BY20:BY23),AV21,"")</f>
      </c>
      <c r="AY26" s="118">
        <f>IF(BZ21=MAX(BZ20:BZ23),AV21,"")</f>
      </c>
      <c r="BA26" s="119"/>
      <c r="BB26" s="119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15"/>
      <c r="BY26" s="15"/>
      <c r="BZ26" s="15"/>
    </row>
    <row r="27" spans="1:78" s="13" customFormat="1" ht="24" customHeight="1">
      <c r="A27" s="199" t="s">
        <v>33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1" t="s">
        <v>34</v>
      </c>
      <c r="AA27" s="202"/>
      <c r="AB27" s="202"/>
      <c r="AC27" s="201" t="s">
        <v>44</v>
      </c>
      <c r="AD27" s="201"/>
      <c r="AE27" s="201" t="s">
        <v>45</v>
      </c>
      <c r="AF27" s="201"/>
      <c r="AG27" s="201" t="s">
        <v>46</v>
      </c>
      <c r="AH27" s="201"/>
      <c r="AI27" s="201" t="s">
        <v>47</v>
      </c>
      <c r="AJ27" s="201"/>
      <c r="AK27" s="201" t="s">
        <v>10</v>
      </c>
      <c r="AL27" s="201"/>
      <c r="AM27" s="201" t="s">
        <v>35</v>
      </c>
      <c r="AN27" s="201"/>
      <c r="AO27" s="201" t="s">
        <v>36</v>
      </c>
      <c r="AP27" s="201"/>
      <c r="AQ27" s="195" t="s">
        <v>37</v>
      </c>
      <c r="AR27" s="196"/>
      <c r="AS27" s="121"/>
      <c r="AT27" s="121"/>
      <c r="AU27" s="121"/>
      <c r="AV27" s="171" t="str">
        <f>IF(BW22=MAX(BW20:BW23),AV22,"")</f>
        <v>Bettelli Simone   -   Tennis Tavolo Coniolo</v>
      </c>
      <c r="AW27" s="172">
        <f>IF(BX22=MAX(BX20:BX23),AV22,"")</f>
      </c>
      <c r="AX27" s="117">
        <f>IF(BY22=MAX(BY20:BY23),AV22,"")</f>
      </c>
      <c r="AY27" s="118">
        <f>IF(BZ22=MAX(BZ20:BZ23),AV22,"")</f>
      </c>
      <c r="BA27" s="119"/>
      <c r="BB27" s="119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15"/>
      <c r="BS27" s="15"/>
      <c r="BT27" s="15"/>
      <c r="BU27" s="15"/>
      <c r="BV27" s="15"/>
      <c r="BW27" s="15"/>
      <c r="BX27" s="15"/>
      <c r="BY27" s="15"/>
      <c r="BZ27" s="15"/>
    </row>
    <row r="28" spans="1:78" s="13" customFormat="1" ht="24" customHeight="1" thickBot="1">
      <c r="A28" s="189" t="str">
        <f>IF(BW20=MAX(BW20:BW23),AV20,IF(BW21=MAX(BW20:BW23),AV21,IF(BW22=MAX(BW20:BW23),AV22,IF(BW23=MAX(BW20:BW23),AV23,AV20))))</f>
        <v>Fanchini Cristian   -   Pol. Oratorio Pian Camuno A.S.D.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>
        <f>IF(A28=AV20,BC20,IF(A28=AV21,BC21,IF(A28=AV22,BC22,IF(A28=AV23,BC23,"0"))))</f>
        <v>0</v>
      </c>
      <c r="AA28" s="191"/>
      <c r="AB28" s="191"/>
      <c r="AC28" s="183">
        <f>IF(A28=AV20,BG20,IF(A28=AV21,BG21,IF(A28=AV22,BG22,IF(A28=AV23,BG23,"0"))))</f>
        <v>0</v>
      </c>
      <c r="AD28" s="183"/>
      <c r="AE28" s="183">
        <f>IF(A28=AV20,BK20,IF(A28=AV21,BK21,IF(A28=AV22,BK22,IF(A28=AV23,BK23,"0"))))</f>
        <v>0</v>
      </c>
      <c r="AF28" s="183"/>
      <c r="AG28" s="183">
        <f>IF(A28=AV20,BL20,IF(A28=AV21,BL21,IF(A28=AV22,BL22,IF(A28=AV23,BL23,"0"))))</f>
        <v>0</v>
      </c>
      <c r="AH28" s="183"/>
      <c r="AI28" s="183">
        <f>IF(A28=AV20,BM20,IF(A28=AV21,BM21,IF(A28=AV22,BM22,IF(A28=AV23,BM23,"0"))))</f>
        <v>0</v>
      </c>
      <c r="AJ28" s="183"/>
      <c r="AK28" s="183">
        <f>SUM(AG28-AI28)</f>
        <v>0</v>
      </c>
      <c r="AL28" s="183"/>
      <c r="AM28" s="183">
        <f>IF(A28=AV20,BO20,IF(A28=AV21,BO21,IF(A28=AV22,BO22,IF(A28=AV23,BO23,"0"))))</f>
        <v>0</v>
      </c>
      <c r="AN28" s="183"/>
      <c r="AO28" s="183">
        <f>IF(A28=AV20,BP20,IF(A28=AV21,BP21,IF(A28=AV22,BP22,IF(A28=AV23,BP23,"0"))))</f>
        <v>0</v>
      </c>
      <c r="AP28" s="183"/>
      <c r="AQ28" s="183">
        <f>SUM(AM28-AO28)</f>
        <v>0</v>
      </c>
      <c r="AR28" s="184"/>
      <c r="AS28" s="119"/>
      <c r="AT28" s="119"/>
      <c r="AU28" s="119"/>
      <c r="AV28" s="171" t="str">
        <f>IF(BW23=MAX(BW20:BW23),AV23,"")</f>
        <v>Loda Giorgio   -   Tennis Tavolo Coniolo</v>
      </c>
      <c r="AW28" s="172">
        <f>IF(BX23=MAX(BX20:BX23),AV23,"")</f>
      </c>
      <c r="AX28" s="122">
        <f>IF(BY23=MAX(BY20:BY23),AV23,"")</f>
      </c>
      <c r="AY28" s="123">
        <f>IF(BZ23=MAX(BZ20:BZ23),AV23,"")</f>
      </c>
      <c r="BA28" s="119"/>
      <c r="BB28" s="119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15"/>
      <c r="BS28" s="15"/>
      <c r="BT28" s="15"/>
      <c r="BU28" s="15"/>
      <c r="BV28" s="15"/>
      <c r="BW28" s="15"/>
      <c r="BX28" s="15"/>
      <c r="BY28" s="15"/>
      <c r="BZ28" s="15"/>
    </row>
    <row r="29" spans="1:78" s="13" customFormat="1" ht="24" customHeight="1">
      <c r="A29" s="189" t="str">
        <f>IF(BX20=MAX(BX20:BX23),AV20,IF(BX21=MAX(BX20:BX23),AV21,IF(BX22=MAX(BX20:BX23),AV22,IF(BX23=MAX(BX20:BX23),AV23,AV21))))</f>
        <v>Tempini Lorenzo   -   Pol. Oratorio Pian Camuno A.S.D.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1">
        <f>IF(A29=AV20,BC20,IF(A29=AV21,BC21,IF(A29=AV22,BC22,IF(A29=AV23,BC23,"0"))))</f>
        <v>0</v>
      </c>
      <c r="AA29" s="191"/>
      <c r="AB29" s="191"/>
      <c r="AC29" s="183">
        <f>IF(A29=AV20,BG20,IF(A29=AV21,BG21,IF(A29=AV22,BG22,IF(A29=AV23,BG23,"0"))))</f>
        <v>0</v>
      </c>
      <c r="AD29" s="183"/>
      <c r="AE29" s="183">
        <f>IF(A29=AV20,BK20,IF(A29=AV21,BK21,IF(A29=AV22,BK22,IF(A29=AV23,BK23,"0"))))</f>
        <v>0</v>
      </c>
      <c r="AF29" s="183"/>
      <c r="AG29" s="183">
        <f>IF(A29=AV20,BL20,IF(A29=AV21,BL21,IF(A29=AV22,BL22,IF(A29=AV23,BL23,"0"))))</f>
        <v>0</v>
      </c>
      <c r="AH29" s="183"/>
      <c r="AI29" s="183">
        <f>IF(A29=AV20,BM20,IF(A29=AV21,BM21,IF(A29=AV22,BM22,IF(A29=AV23,BM23,"0"))))</f>
        <v>0</v>
      </c>
      <c r="AJ29" s="183"/>
      <c r="AK29" s="183">
        <f>SUM(AG29-AI29)</f>
        <v>0</v>
      </c>
      <c r="AL29" s="183"/>
      <c r="AM29" s="183">
        <f>IF(A29=AV20,BO20,IF(A29=AV21,BO21,IF(A29=AV22,BO22,IF(A29=AV23,BO23,"0"))))</f>
        <v>0</v>
      </c>
      <c r="AN29" s="183"/>
      <c r="AO29" s="183">
        <f>IF(A29=AV20,BP20,IF(A29=AV21,BP21,IF(A29=AV22,BP22,IF(A29=AV23,BP23,"0"))))</f>
        <v>0</v>
      </c>
      <c r="AP29" s="183"/>
      <c r="AQ29" s="183">
        <f>SUM(AM29-AO29)</f>
        <v>0</v>
      </c>
      <c r="AR29" s="184"/>
      <c r="AS29" s="119"/>
      <c r="AT29" s="119"/>
      <c r="AU29" s="119"/>
      <c r="AV29" s="187" t="s">
        <v>78</v>
      </c>
      <c r="AW29" s="188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</row>
    <row r="30" spans="1:78" s="13" customFormat="1" ht="24" customHeight="1">
      <c r="A30" s="189" t="str">
        <f>IF(BY20=MAX(BY20:BY23),AV20,IF(BY21=MAX(BY20:BY23),AV21,IF(BY22=MAX(BY20:BY23),AV22,IF(BY23=MAX(BY20:BY23),AV23,AV22))))</f>
        <v>Bettelli Simone   -   Tennis Tavolo Coniolo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1">
        <f>IF(A30=AV20,BC20,IF(A30=AV21,BC21,IF(A30=AV22,BC22,IF(A30=AV23,BC23,"0"))))</f>
        <v>0</v>
      </c>
      <c r="AA30" s="191"/>
      <c r="AB30" s="191"/>
      <c r="AC30" s="183">
        <f>IF(A30=AV20,BG20,IF(A30=AV21,BG21,IF(A30=AV22,BG22,IF(A30=AV23,BG23,"0"))))</f>
        <v>0</v>
      </c>
      <c r="AD30" s="183"/>
      <c r="AE30" s="183">
        <f>IF(A30=AV20,BK20,IF(A30=AV21,BK21,IF(A30=AV22,BK22,IF(A30=AV23,BK23,"0"))))</f>
        <v>0</v>
      </c>
      <c r="AF30" s="183"/>
      <c r="AG30" s="183">
        <f>IF(A30=AV20,BL20,IF(A30=AV21,BL21,IF(A30=AV22,BL22,IF(A30=AV23,BL23,"0"))))</f>
        <v>0</v>
      </c>
      <c r="AH30" s="183"/>
      <c r="AI30" s="183">
        <f>IF(A30=AV20,BM20,IF(A30=AV21,BM21,IF(A30=AV22,BM22,IF(A30=AV23,BM23,"0"))))</f>
        <v>0</v>
      </c>
      <c r="AJ30" s="183"/>
      <c r="AK30" s="183">
        <f>SUM(AG30-AI30)</f>
        <v>0</v>
      </c>
      <c r="AL30" s="183"/>
      <c r="AM30" s="183">
        <f>IF(A30=AV20,BO20,IF(A30=AV21,BO21,IF(A30=AV22,BO22,IF(A30=AV23,BO23,"0"))))</f>
        <v>0</v>
      </c>
      <c r="AN30" s="183"/>
      <c r="AO30" s="183">
        <f>IF(A30=AV20,BP20,IF(A30=AV21,BP21,IF(A30=AV22,BP22,IF(A30=AV23,BP23,"0"))))</f>
        <v>0</v>
      </c>
      <c r="AP30" s="183"/>
      <c r="AQ30" s="183">
        <f>SUM(AM30-AO30)</f>
        <v>0</v>
      </c>
      <c r="AR30" s="184"/>
      <c r="AS30" s="119"/>
      <c r="AT30" s="119"/>
      <c r="AU30" s="119"/>
      <c r="AV30" s="185" t="str">
        <f>A28</f>
        <v>Fanchini Cristian   -   Pol. Oratorio Pian Camuno A.S.D.</v>
      </c>
      <c r="AW30" s="186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</row>
    <row r="31" spans="1:78" s="13" customFormat="1" ht="24" customHeight="1">
      <c r="A31" s="192" t="str">
        <f>IF(BZ20=MAX(BZ20:BZ23),AV20,IF(BZ21=MAX(BZ20:BZ23),AV21,IF(BZ22=MAX(BZ20:BZ23),AV22,IF(BZ23=MAX(BZ20:BZ23),AV23,AV23))))</f>
        <v>Loda Giorgio   -   Tennis Tavolo Coniolo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4">
        <f>IF(A31=AV20,BC20,IF(A31=AV21,BC21,IF(A31=AV22,BC22,IF(A31=AV23,BC23,"0"))))</f>
        <v>0</v>
      </c>
      <c r="AA31" s="194"/>
      <c r="AB31" s="194"/>
      <c r="AC31" s="179">
        <f>IF(A31=AV20,BG20,IF(A31=AV21,BG21,IF(A31=AV22,BG22,IF(A31=AV23,BG23,"0"))))</f>
        <v>0</v>
      </c>
      <c r="AD31" s="179"/>
      <c r="AE31" s="179">
        <f>IF(A31=AV20,BK20,IF(A31=AV21,BK21,IF(A31=AV22,BK22,IF(A31=AV23,BK23,"0"))))</f>
        <v>0</v>
      </c>
      <c r="AF31" s="179"/>
      <c r="AG31" s="179">
        <f>IF(A31=AV20,BL20,IF(A31=AV21,BL21,IF(A31=AV22,BL22,IF(A31=AV23,BL23,"0"))))</f>
        <v>0</v>
      </c>
      <c r="AH31" s="179"/>
      <c r="AI31" s="179">
        <f>IF(A31=AV20,BM20,IF(A31=AV21,BM21,IF(A31=AV22,BM22,IF(A31=AV23,BM23,"0"))))</f>
        <v>0</v>
      </c>
      <c r="AJ31" s="179"/>
      <c r="AK31" s="179">
        <f>SUM(AG31-AI31)</f>
        <v>0</v>
      </c>
      <c r="AL31" s="179"/>
      <c r="AM31" s="179">
        <f>IF(A31=AV20,BO20,IF(A31=AV21,BO21,IF(A31=AV22,BO22,IF(A31=AV23,BO23,"0"))))</f>
        <v>0</v>
      </c>
      <c r="AN31" s="179"/>
      <c r="AO31" s="179">
        <f>IF(A31=AV20,BP20,IF(A31=AV21,BP21,IF(A31=AV22,BP22,IF(A31=AV23,BP23,"0"))))</f>
        <v>0</v>
      </c>
      <c r="AP31" s="179"/>
      <c r="AQ31" s="179">
        <f>SUM(AM31-AO31)</f>
        <v>0</v>
      </c>
      <c r="AR31" s="180"/>
      <c r="AS31" s="119"/>
      <c r="AT31" s="119"/>
      <c r="AU31" s="119"/>
      <c r="AV31" s="181" t="str">
        <f>A29</f>
        <v>Tempini Lorenzo   -   Pol. Oratorio Pian Camuno A.S.D.</v>
      </c>
      <c r="AW31" s="182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</row>
  </sheetData>
  <sheetProtection password="C78D" sheet="1" objects="1" scenarios="1"/>
  <mergeCells count="171">
    <mergeCell ref="AQ13:AR13"/>
    <mergeCell ref="AQ12:AR12"/>
    <mergeCell ref="AV14:AW14"/>
    <mergeCell ref="AO16:AP16"/>
    <mergeCell ref="AV15:AW15"/>
    <mergeCell ref="AV16:AW16"/>
    <mergeCell ref="AO14:AP14"/>
    <mergeCell ref="AM15:AN15"/>
    <mergeCell ref="AO15:AP15"/>
    <mergeCell ref="AQ15:AR15"/>
    <mergeCell ref="A1:AR1"/>
    <mergeCell ref="A2:AR2"/>
    <mergeCell ref="A3:Q3"/>
    <mergeCell ref="AK3:AN3"/>
    <mergeCell ref="AO3:AR3"/>
    <mergeCell ref="R3:AH3"/>
    <mergeCell ref="AE13:AF13"/>
    <mergeCell ref="AM13:AN13"/>
    <mergeCell ref="AO13:AP13"/>
    <mergeCell ref="AG14:AH14"/>
    <mergeCell ref="AI14:AJ14"/>
    <mergeCell ref="AK14:AL14"/>
    <mergeCell ref="AK13:AL13"/>
    <mergeCell ref="D9:Q9"/>
    <mergeCell ref="A12:Y12"/>
    <mergeCell ref="AG13:AH13"/>
    <mergeCell ref="AM14:AN14"/>
    <mergeCell ref="AC12:AD12"/>
    <mergeCell ref="S7:AF7"/>
    <mergeCell ref="D8:Q8"/>
    <mergeCell ref="S8:AF8"/>
    <mergeCell ref="D7:Q7"/>
    <mergeCell ref="S9:AF9"/>
    <mergeCell ref="Z12:AB12"/>
    <mergeCell ref="D10:Q10"/>
    <mergeCell ref="AE12:AF12"/>
    <mergeCell ref="S10:AF10"/>
    <mergeCell ref="CA3:CE3"/>
    <mergeCell ref="C4:AF4"/>
    <mergeCell ref="D5:Q5"/>
    <mergeCell ref="S6:AF6"/>
    <mergeCell ref="D6:Q6"/>
    <mergeCell ref="S5:AF5"/>
    <mergeCell ref="AI4:AJ4"/>
    <mergeCell ref="AK4:AL4"/>
    <mergeCell ref="AG4:AH4"/>
    <mergeCell ref="AM4:AN4"/>
    <mergeCell ref="BH3:BK3"/>
    <mergeCell ref="BL3:BN3"/>
    <mergeCell ref="BO3:BQ3"/>
    <mergeCell ref="BR3:BZ3"/>
    <mergeCell ref="AW3:BC3"/>
    <mergeCell ref="BD3:BG3"/>
    <mergeCell ref="AQ4:AR4"/>
    <mergeCell ref="AM12:AN12"/>
    <mergeCell ref="AO4:AP4"/>
    <mergeCell ref="AO12:AP12"/>
    <mergeCell ref="AE14:AF14"/>
    <mergeCell ref="A11:AR11"/>
    <mergeCell ref="A13:Y13"/>
    <mergeCell ref="Z13:AB13"/>
    <mergeCell ref="AC13:AD13"/>
    <mergeCell ref="AI13:AJ13"/>
    <mergeCell ref="AQ14:AR14"/>
    <mergeCell ref="AG12:AH12"/>
    <mergeCell ref="AI12:AJ12"/>
    <mergeCell ref="AK12:AL12"/>
    <mergeCell ref="A14:Y14"/>
    <mergeCell ref="A15:Y15"/>
    <mergeCell ref="Z15:AB15"/>
    <mergeCell ref="AC15:AD15"/>
    <mergeCell ref="Z14:AB14"/>
    <mergeCell ref="AC14:AD14"/>
    <mergeCell ref="AE16:AF16"/>
    <mergeCell ref="AG16:AH16"/>
    <mergeCell ref="BH18:BK18"/>
    <mergeCell ref="BL18:BN18"/>
    <mergeCell ref="Z16:AB16"/>
    <mergeCell ref="AG15:AH15"/>
    <mergeCell ref="AI15:AJ15"/>
    <mergeCell ref="AK15:AL15"/>
    <mergeCell ref="AE15:AF15"/>
    <mergeCell ref="AK16:AL16"/>
    <mergeCell ref="A16:Y16"/>
    <mergeCell ref="AQ16:AR16"/>
    <mergeCell ref="A17:AR17"/>
    <mergeCell ref="A18:Q18"/>
    <mergeCell ref="R18:AH18"/>
    <mergeCell ref="AK18:AN18"/>
    <mergeCell ref="AO18:AR18"/>
    <mergeCell ref="AI16:AJ16"/>
    <mergeCell ref="AM16:AN16"/>
    <mergeCell ref="AC16:AD16"/>
    <mergeCell ref="BO18:BQ18"/>
    <mergeCell ref="C19:AF19"/>
    <mergeCell ref="AG19:AH19"/>
    <mergeCell ref="AI19:AJ19"/>
    <mergeCell ref="AK19:AL19"/>
    <mergeCell ref="AM19:AN19"/>
    <mergeCell ref="AO19:AP19"/>
    <mergeCell ref="AQ19:AR19"/>
    <mergeCell ref="AW18:BC18"/>
    <mergeCell ref="BD18:BG18"/>
    <mergeCell ref="D20:Q20"/>
    <mergeCell ref="S20:AF20"/>
    <mergeCell ref="D21:Q21"/>
    <mergeCell ref="S21:AF21"/>
    <mergeCell ref="D22:Q22"/>
    <mergeCell ref="S22:AF22"/>
    <mergeCell ref="D23:Q23"/>
    <mergeCell ref="S23:AF23"/>
    <mergeCell ref="D24:Q24"/>
    <mergeCell ref="S24:AF24"/>
    <mergeCell ref="D25:Q25"/>
    <mergeCell ref="S25:AF25"/>
    <mergeCell ref="A26:AR26"/>
    <mergeCell ref="A27:Y27"/>
    <mergeCell ref="Z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28:Y28"/>
    <mergeCell ref="Z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29:Y29"/>
    <mergeCell ref="Z29:AB29"/>
    <mergeCell ref="AC29:AD29"/>
    <mergeCell ref="AE29:AF29"/>
    <mergeCell ref="AG29:AH29"/>
    <mergeCell ref="AI29:AJ29"/>
    <mergeCell ref="AK29:AL29"/>
    <mergeCell ref="AM29:AN29"/>
    <mergeCell ref="AO29:AP29"/>
    <mergeCell ref="A30:Y30"/>
    <mergeCell ref="Z30:AB30"/>
    <mergeCell ref="AC30:AD30"/>
    <mergeCell ref="AE30:AF30"/>
    <mergeCell ref="AG31:AH31"/>
    <mergeCell ref="AI31:AJ31"/>
    <mergeCell ref="A31:Y31"/>
    <mergeCell ref="Z31:AB31"/>
    <mergeCell ref="AC31:AD31"/>
    <mergeCell ref="AE31:AF31"/>
    <mergeCell ref="AK31:AL31"/>
    <mergeCell ref="AQ29:AR29"/>
    <mergeCell ref="AG30:AH30"/>
    <mergeCell ref="AI30:AJ30"/>
    <mergeCell ref="AK30:AL30"/>
    <mergeCell ref="AM30:AN30"/>
    <mergeCell ref="BR18:BZ18"/>
    <mergeCell ref="CA18:CE18"/>
    <mergeCell ref="AM31:AN31"/>
    <mergeCell ref="AO31:AP31"/>
    <mergeCell ref="AQ31:AR31"/>
    <mergeCell ref="AV31:AW31"/>
    <mergeCell ref="AO30:AP30"/>
    <mergeCell ref="AQ30:AR30"/>
    <mergeCell ref="AV30:AW30"/>
    <mergeCell ref="AV29:AW29"/>
  </mergeCells>
  <printOptions horizontalCentered="1"/>
  <pageMargins left="0.15748031496062992" right="0.23" top="0.3937007874015748" bottom="0.4724409448818898" header="0.5118110236220472" footer="0.5118110236220472"/>
  <pageSetup blackAndWhite="1" horizontalDpi="300" verticalDpi="300" orientation="portrait" paperSize="9" r:id="rId2"/>
  <headerFooter alignWithMargins="0">
    <oddFooter>&amp;C&amp;1#&amp;"TIM Sans"&amp;8&amp;K4472C4TIM - Uso Interno - Tutti i diritti riservati.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showGridLines="0" view="pageBreakPreview" zoomScale="60" zoomScaleNormal="75" zoomScalePageLayoutView="0" workbookViewId="0" topLeftCell="A1">
      <selection activeCell="Y3" sqref="Y1:Y16384"/>
    </sheetView>
  </sheetViews>
  <sheetFormatPr defaultColWidth="9.140625" defaultRowHeight="12.75"/>
  <cols>
    <col min="1" max="1" width="27.28125" style="7" customWidth="1"/>
    <col min="2" max="3" width="18.7109375" style="7" customWidth="1"/>
    <col min="4" max="8" width="6.7109375" style="7" customWidth="1"/>
    <col min="9" max="9" width="6.7109375" style="163" customWidth="1"/>
    <col min="10" max="11" width="18.7109375" style="7" customWidth="1"/>
    <col min="12" max="16" width="6.7109375" style="7" customWidth="1"/>
    <col min="17" max="17" width="6.7109375" style="163" customWidth="1"/>
    <col min="18" max="19" width="18.7109375" style="7" customWidth="1"/>
    <col min="20" max="24" width="6.7109375" style="7" customWidth="1"/>
    <col min="25" max="25" width="6.7109375" style="163" customWidth="1"/>
    <col min="26" max="16384" width="9.140625" style="7" customWidth="1"/>
  </cols>
  <sheetData>
    <row r="1" spans="2:26" s="13" customFormat="1" ht="26.25" customHeight="1">
      <c r="B1" s="238" t="s">
        <v>0</v>
      </c>
      <c r="C1" s="238"/>
      <c r="D1" s="238"/>
      <c r="E1" s="238"/>
      <c r="F1" s="238"/>
      <c r="G1" s="238"/>
      <c r="H1" s="238"/>
      <c r="I1" s="238"/>
      <c r="J1" s="238" t="s">
        <v>0</v>
      </c>
      <c r="K1" s="238"/>
      <c r="L1" s="238"/>
      <c r="M1" s="238"/>
      <c r="N1" s="238"/>
      <c r="O1" s="238"/>
      <c r="P1" s="238"/>
      <c r="Q1" s="238"/>
      <c r="R1" s="238" t="s">
        <v>0</v>
      </c>
      <c r="S1" s="238"/>
      <c r="T1" s="238"/>
      <c r="U1" s="238"/>
      <c r="V1" s="238"/>
      <c r="W1" s="238"/>
      <c r="X1" s="238"/>
      <c r="Y1" s="238"/>
      <c r="Z1" s="7"/>
    </row>
    <row r="2" spans="2:25" s="13" customFormat="1" ht="26.25" customHeight="1">
      <c r="B2" s="239" t="s">
        <v>1</v>
      </c>
      <c r="C2" s="239"/>
      <c r="D2" s="239"/>
      <c r="E2" s="239"/>
      <c r="F2" s="239"/>
      <c r="G2" s="239"/>
      <c r="H2" s="239"/>
      <c r="I2" s="239"/>
      <c r="J2" s="239" t="s">
        <v>1</v>
      </c>
      <c r="K2" s="239"/>
      <c r="L2" s="239"/>
      <c r="M2" s="239"/>
      <c r="N2" s="239"/>
      <c r="O2" s="239"/>
      <c r="P2" s="239"/>
      <c r="Q2" s="239"/>
      <c r="R2" s="239" t="s">
        <v>1</v>
      </c>
      <c r="S2" s="239"/>
      <c r="T2" s="239"/>
      <c r="U2" s="239"/>
      <c r="V2" s="239"/>
      <c r="W2" s="239"/>
      <c r="X2" s="239"/>
      <c r="Y2" s="239"/>
    </row>
    <row r="3" spans="2:26" s="13" customFormat="1" ht="20.25" customHeight="1">
      <c r="B3" s="235" t="str">
        <f>'lista di qualificazione'!A1</f>
        <v>Cat. UNDER 13 M</v>
      </c>
      <c r="C3" s="235"/>
      <c r="D3" s="235"/>
      <c r="E3" s="235" t="s">
        <v>68</v>
      </c>
      <c r="F3" s="235"/>
      <c r="G3" s="235"/>
      <c r="H3" s="124" t="s">
        <v>67</v>
      </c>
      <c r="I3" s="161" t="str">
        <f>REPT(gironi!A5,1)</f>
        <v>6</v>
      </c>
      <c r="J3" s="235" t="str">
        <f>B3</f>
        <v>Cat. UNDER 13 M</v>
      </c>
      <c r="K3" s="235"/>
      <c r="L3" s="235"/>
      <c r="M3" s="235" t="str">
        <f>E3</f>
        <v>Girone 1</v>
      </c>
      <c r="N3" s="235"/>
      <c r="O3" s="235"/>
      <c r="P3" s="124" t="s">
        <v>67</v>
      </c>
      <c r="Q3" s="161">
        <f>REPT(gironi!A6,1)</f>
      </c>
      <c r="R3" s="235" t="str">
        <f>J3</f>
        <v>Cat. UNDER 13 M</v>
      </c>
      <c r="S3" s="235"/>
      <c r="T3" s="235"/>
      <c r="U3" s="235" t="str">
        <f>M3</f>
        <v>Girone 1</v>
      </c>
      <c r="V3" s="235"/>
      <c r="W3" s="235"/>
      <c r="X3" s="124" t="s">
        <v>67</v>
      </c>
      <c r="Y3" s="161">
        <f>REPT(gironi!A7,1)</f>
      </c>
      <c r="Z3" s="7"/>
    </row>
    <row r="4" spans="2:26" s="13" customFormat="1" ht="18" customHeight="1">
      <c r="B4" s="220" t="s">
        <v>16</v>
      </c>
      <c r="C4" s="220"/>
      <c r="D4" s="220"/>
      <c r="E4" s="220"/>
      <c r="F4" s="220"/>
      <c r="G4" s="236"/>
      <c r="H4" s="125" t="s">
        <v>66</v>
      </c>
      <c r="I4" s="162" t="str">
        <f>REPT(gironi!B5,1)</f>
        <v>14,3</v>
      </c>
      <c r="J4" s="237" t="s">
        <v>17</v>
      </c>
      <c r="K4" s="237"/>
      <c r="L4" s="237"/>
      <c r="M4" s="237"/>
      <c r="N4" s="237"/>
      <c r="O4" s="237"/>
      <c r="P4" s="125" t="s">
        <v>66</v>
      </c>
      <c r="Q4" s="162">
        <f>REPT(gironi!B6,1)</f>
      </c>
      <c r="R4" s="236" t="s">
        <v>18</v>
      </c>
      <c r="S4" s="237"/>
      <c r="T4" s="237"/>
      <c r="U4" s="237"/>
      <c r="V4" s="237"/>
      <c r="W4" s="237"/>
      <c r="X4" s="125" t="s">
        <v>66</v>
      </c>
      <c r="Y4" s="162">
        <f>REPT(gironi!B7,1)</f>
      </c>
      <c r="Z4" s="7"/>
    </row>
    <row r="5" spans="2:26" s="13" customFormat="1" ht="20.25" customHeight="1">
      <c r="B5" s="233" t="s">
        <v>14</v>
      </c>
      <c r="C5" s="234"/>
      <c r="D5" s="113" t="s">
        <v>22</v>
      </c>
      <c r="E5" s="113" t="s">
        <v>23</v>
      </c>
      <c r="F5" s="113" t="s">
        <v>24</v>
      </c>
      <c r="G5" s="113" t="s">
        <v>25</v>
      </c>
      <c r="H5" s="113" t="s">
        <v>26</v>
      </c>
      <c r="I5" s="126" t="s">
        <v>27</v>
      </c>
      <c r="J5" s="233" t="s">
        <v>14</v>
      </c>
      <c r="K5" s="234"/>
      <c r="L5" s="113" t="s">
        <v>22</v>
      </c>
      <c r="M5" s="113" t="s">
        <v>23</v>
      </c>
      <c r="N5" s="113" t="s">
        <v>24</v>
      </c>
      <c r="O5" s="113" t="s">
        <v>25</v>
      </c>
      <c r="P5" s="113" t="s">
        <v>26</v>
      </c>
      <c r="Q5" s="126" t="s">
        <v>27</v>
      </c>
      <c r="R5" s="233" t="s">
        <v>14</v>
      </c>
      <c r="S5" s="234"/>
      <c r="T5" s="113" t="s">
        <v>22</v>
      </c>
      <c r="U5" s="113" t="s">
        <v>23</v>
      </c>
      <c r="V5" s="113" t="s">
        <v>24</v>
      </c>
      <c r="W5" s="113" t="s">
        <v>25</v>
      </c>
      <c r="X5" s="113" t="s">
        <v>26</v>
      </c>
      <c r="Y5" s="126" t="s">
        <v>27</v>
      </c>
      <c r="Z5" s="7"/>
    </row>
    <row r="6" spans="1:26" s="13" customFormat="1" ht="30" customHeight="1">
      <c r="A6" s="127" t="str">
        <f>REPT(gironi!D5,1)</f>
        <v>Buzzoni Nicolò   -   Pol. Oratorio Pian Camuno A.S.D.</v>
      </c>
      <c r="B6" s="103"/>
      <c r="C6" s="103"/>
      <c r="D6" s="128"/>
      <c r="E6" s="128"/>
      <c r="F6" s="128"/>
      <c r="G6" s="128"/>
      <c r="H6" s="128"/>
      <c r="I6" s="103"/>
      <c r="J6" s="103"/>
      <c r="K6" s="103"/>
      <c r="L6" s="128"/>
      <c r="M6" s="128"/>
      <c r="N6" s="128"/>
      <c r="O6" s="128"/>
      <c r="P6" s="128"/>
      <c r="Q6" s="103"/>
      <c r="R6" s="103"/>
      <c r="S6" s="103"/>
      <c r="T6" s="128"/>
      <c r="U6" s="128"/>
      <c r="V6" s="128"/>
      <c r="W6" s="128"/>
      <c r="X6" s="128"/>
      <c r="Y6" s="103"/>
      <c r="Z6" s="7"/>
    </row>
    <row r="7" spans="1:26" s="13" customFormat="1" ht="30" customHeight="1">
      <c r="A7" s="127" t="str">
        <f>REPT(gironi!D6,1)</f>
        <v>Ottelli Daniel   -   Pol. Oratorio Pian Camuno A.S.D.</v>
      </c>
      <c r="B7" s="241" t="str">
        <f>A6</f>
        <v>Buzzoni Nicolò   -   Pol. Oratorio Pian Camuno A.S.D.</v>
      </c>
      <c r="C7" s="231"/>
      <c r="D7" s="129"/>
      <c r="E7" s="129"/>
      <c r="F7" s="130"/>
      <c r="G7" s="131"/>
      <c r="H7" s="131"/>
      <c r="I7" s="132"/>
      <c r="J7" s="230" t="str">
        <f>A7</f>
        <v>Ottelli Daniel   -   Pol. Oratorio Pian Camuno A.S.D.</v>
      </c>
      <c r="K7" s="231"/>
      <c r="L7" s="129"/>
      <c r="M7" s="129"/>
      <c r="N7" s="130"/>
      <c r="O7" s="131"/>
      <c r="P7" s="131"/>
      <c r="Q7" s="132"/>
      <c r="R7" s="230" t="str">
        <f>A8</f>
        <v>Mineo Marco   -   Tennis Tavolo Coniolo</v>
      </c>
      <c r="S7" s="231"/>
      <c r="T7" s="129"/>
      <c r="U7" s="129"/>
      <c r="V7" s="130"/>
      <c r="W7" s="131"/>
      <c r="X7" s="131"/>
      <c r="Y7" s="132"/>
      <c r="Z7" s="7"/>
    </row>
    <row r="8" spans="1:26" s="13" customFormat="1" ht="30" customHeight="1">
      <c r="A8" s="127" t="str">
        <f>REPT(gironi!D7,1)</f>
        <v>Mineo Marco   -   Tennis Tavolo Coniolo</v>
      </c>
      <c r="B8" s="241" t="str">
        <f>A8</f>
        <v>Mineo Marco   -   Tennis Tavolo Coniolo</v>
      </c>
      <c r="C8" s="231"/>
      <c r="D8" s="129"/>
      <c r="E8" s="129"/>
      <c r="F8" s="130"/>
      <c r="G8" s="131"/>
      <c r="H8" s="131"/>
      <c r="I8" s="132"/>
      <c r="J8" s="230" t="str">
        <f>A9</f>
        <v>Lazzaroni Mathias   -   Tennis Tavolo Coniolo</v>
      </c>
      <c r="K8" s="231"/>
      <c r="L8" s="129"/>
      <c r="M8" s="129"/>
      <c r="N8" s="130"/>
      <c r="O8" s="131"/>
      <c r="P8" s="131"/>
      <c r="Q8" s="132"/>
      <c r="R8" s="230" t="str">
        <f>A7</f>
        <v>Ottelli Daniel   -   Pol. Oratorio Pian Camuno A.S.D.</v>
      </c>
      <c r="S8" s="231"/>
      <c r="T8" s="129"/>
      <c r="U8" s="129"/>
      <c r="V8" s="130"/>
      <c r="W8" s="131"/>
      <c r="X8" s="131"/>
      <c r="Y8" s="132"/>
      <c r="Z8" s="7"/>
    </row>
    <row r="9" spans="1:26" s="13" customFormat="1" ht="30" customHeight="1">
      <c r="A9" s="127" t="str">
        <f>REPT(gironi!D8,1)</f>
        <v>Lazzaroni Mathias   -   Tennis Tavolo Coniolo</v>
      </c>
      <c r="B9" s="232" t="s">
        <v>30</v>
      </c>
      <c r="C9" s="232"/>
      <c r="D9" s="227" t="str">
        <f>A9</f>
        <v>Lazzaroni Mathias   -   Tennis Tavolo Coniolo</v>
      </c>
      <c r="E9" s="227"/>
      <c r="F9" s="227"/>
      <c r="G9" s="227"/>
      <c r="H9" s="227"/>
      <c r="I9" s="227"/>
      <c r="J9" s="232" t="s">
        <v>30</v>
      </c>
      <c r="K9" s="232"/>
      <c r="L9" s="242" t="str">
        <f>A8</f>
        <v>Mineo Marco   -   Tennis Tavolo Coniolo</v>
      </c>
      <c r="M9" s="242"/>
      <c r="N9" s="242"/>
      <c r="O9" s="242"/>
      <c r="P9" s="242"/>
      <c r="Q9" s="242"/>
      <c r="R9" s="232" t="s">
        <v>30</v>
      </c>
      <c r="S9" s="232"/>
      <c r="T9" s="227" t="str">
        <f>A6</f>
        <v>Buzzoni Nicolò   -   Pol. Oratorio Pian Camuno A.S.D.</v>
      </c>
      <c r="U9" s="227"/>
      <c r="V9" s="227"/>
      <c r="W9" s="227"/>
      <c r="X9" s="227"/>
      <c r="Y9" s="227"/>
      <c r="Z9" s="7"/>
    </row>
    <row r="10" spans="2:26" s="13" customFormat="1" ht="30" customHeight="1">
      <c r="B10" s="228" t="s">
        <v>31</v>
      </c>
      <c r="C10" s="228"/>
      <c r="D10" s="229">
        <f>IF(I7&gt;I8,B7,IF(I7&lt;I8,B8,""))</f>
      </c>
      <c r="E10" s="229"/>
      <c r="F10" s="229"/>
      <c r="G10" s="229"/>
      <c r="H10" s="229"/>
      <c r="I10" s="229"/>
      <c r="J10" s="228" t="s">
        <v>31</v>
      </c>
      <c r="K10" s="228"/>
      <c r="L10" s="240"/>
      <c r="M10" s="240"/>
      <c r="N10" s="240"/>
      <c r="O10" s="240"/>
      <c r="P10" s="240"/>
      <c r="Q10" s="240"/>
      <c r="R10" s="228" t="s">
        <v>31</v>
      </c>
      <c r="S10" s="228"/>
      <c r="T10" s="229">
        <f>IF(Y7&gt;Y8,R7,IF(Y7&lt;Y8,R8,""))</f>
      </c>
      <c r="U10" s="229"/>
      <c r="V10" s="229"/>
      <c r="W10" s="229"/>
      <c r="X10" s="229"/>
      <c r="Y10" s="229"/>
      <c r="Z10" s="7"/>
    </row>
    <row r="11" spans="2:26" s="13" customFormat="1" ht="26.25" customHeight="1">
      <c r="B11" s="238" t="s">
        <v>0</v>
      </c>
      <c r="C11" s="238"/>
      <c r="D11" s="238"/>
      <c r="E11" s="238"/>
      <c r="F11" s="238"/>
      <c r="G11" s="238"/>
      <c r="H11" s="238"/>
      <c r="I11" s="238"/>
      <c r="J11" s="238" t="s">
        <v>0</v>
      </c>
      <c r="K11" s="238"/>
      <c r="L11" s="238"/>
      <c r="M11" s="238"/>
      <c r="N11" s="238"/>
      <c r="O11" s="238"/>
      <c r="P11" s="238"/>
      <c r="Q11" s="238"/>
      <c r="R11" s="238" t="s">
        <v>0</v>
      </c>
      <c r="S11" s="238"/>
      <c r="T11" s="238"/>
      <c r="U11" s="238"/>
      <c r="V11" s="238"/>
      <c r="W11" s="238"/>
      <c r="X11" s="238"/>
      <c r="Y11" s="238"/>
      <c r="Z11" s="102"/>
    </row>
    <row r="12" spans="2:26" s="13" customFormat="1" ht="26.25" customHeight="1">
      <c r="B12" s="239" t="s">
        <v>1</v>
      </c>
      <c r="C12" s="239"/>
      <c r="D12" s="239"/>
      <c r="E12" s="239"/>
      <c r="F12" s="239"/>
      <c r="G12" s="239"/>
      <c r="H12" s="239"/>
      <c r="I12" s="239"/>
      <c r="J12" s="239" t="s">
        <v>1</v>
      </c>
      <c r="K12" s="239"/>
      <c r="L12" s="239"/>
      <c r="M12" s="239"/>
      <c r="N12" s="239"/>
      <c r="O12" s="239"/>
      <c r="P12" s="239"/>
      <c r="Q12" s="239"/>
      <c r="R12" s="239" t="s">
        <v>1</v>
      </c>
      <c r="S12" s="239"/>
      <c r="T12" s="239"/>
      <c r="U12" s="239"/>
      <c r="V12" s="239"/>
      <c r="W12" s="239"/>
      <c r="X12" s="239"/>
      <c r="Y12" s="239"/>
      <c r="Z12" s="102"/>
    </row>
    <row r="13" spans="2:26" s="13" customFormat="1" ht="20.25" customHeight="1">
      <c r="B13" s="235" t="str">
        <f>B3</f>
        <v>Cat. UNDER 13 M</v>
      </c>
      <c r="C13" s="235"/>
      <c r="D13" s="235"/>
      <c r="E13" s="235" t="str">
        <f>E3</f>
        <v>Girone 1</v>
      </c>
      <c r="F13" s="235"/>
      <c r="G13" s="235"/>
      <c r="H13" s="124" t="s">
        <v>67</v>
      </c>
      <c r="I13" s="161">
        <f>REPT(gironi!A8,1)</f>
      </c>
      <c r="J13" s="235" t="str">
        <f>J3</f>
        <v>Cat. UNDER 13 M</v>
      </c>
      <c r="K13" s="235"/>
      <c r="L13" s="235"/>
      <c r="M13" s="235" t="str">
        <f>M3</f>
        <v>Girone 1</v>
      </c>
      <c r="N13" s="235"/>
      <c r="O13" s="235"/>
      <c r="P13" s="124" t="s">
        <v>67</v>
      </c>
      <c r="Q13" s="161">
        <f>REPT(gironi!A9,1)</f>
      </c>
      <c r="R13" s="235" t="str">
        <f>R3</f>
        <v>Cat. UNDER 13 M</v>
      </c>
      <c r="S13" s="235"/>
      <c r="T13" s="235"/>
      <c r="U13" s="235" t="str">
        <f>U3</f>
        <v>Girone 1</v>
      </c>
      <c r="V13" s="235"/>
      <c r="W13" s="235"/>
      <c r="X13" s="124" t="s">
        <v>67</v>
      </c>
      <c r="Y13" s="161">
        <f>REPT(gironi!A10,1)</f>
      </c>
      <c r="Z13" s="102"/>
    </row>
    <row r="14" spans="2:26" s="13" customFormat="1" ht="20.25" customHeight="1">
      <c r="B14" s="236" t="s">
        <v>103</v>
      </c>
      <c r="C14" s="237"/>
      <c r="D14" s="237"/>
      <c r="E14" s="237"/>
      <c r="F14" s="237"/>
      <c r="G14" s="237"/>
      <c r="H14" s="125" t="s">
        <v>66</v>
      </c>
      <c r="I14" s="162">
        <f>REPT(gironi!B8,1)</f>
      </c>
      <c r="J14" s="236" t="s">
        <v>104</v>
      </c>
      <c r="K14" s="237"/>
      <c r="L14" s="237"/>
      <c r="M14" s="237"/>
      <c r="N14" s="237"/>
      <c r="O14" s="237"/>
      <c r="P14" s="125" t="s">
        <v>66</v>
      </c>
      <c r="Q14" s="162">
        <f>REPT(gironi!B9,1)</f>
      </c>
      <c r="R14" s="236" t="s">
        <v>105</v>
      </c>
      <c r="S14" s="237"/>
      <c r="T14" s="237"/>
      <c r="U14" s="237"/>
      <c r="V14" s="237"/>
      <c r="W14" s="237"/>
      <c r="X14" s="125" t="s">
        <v>66</v>
      </c>
      <c r="Y14" s="162">
        <f>REPT(gironi!B10,1)</f>
      </c>
      <c r="Z14" s="102"/>
    </row>
    <row r="15" spans="2:26" s="13" customFormat="1" ht="20.25" customHeight="1">
      <c r="B15" s="233" t="s">
        <v>14</v>
      </c>
      <c r="C15" s="234"/>
      <c r="D15" s="113" t="s">
        <v>22</v>
      </c>
      <c r="E15" s="113" t="s">
        <v>23</v>
      </c>
      <c r="F15" s="113" t="s">
        <v>24</v>
      </c>
      <c r="G15" s="113" t="s">
        <v>25</v>
      </c>
      <c r="H15" s="113" t="s">
        <v>26</v>
      </c>
      <c r="I15" s="126" t="s">
        <v>27</v>
      </c>
      <c r="J15" s="233" t="s">
        <v>14</v>
      </c>
      <c r="K15" s="234"/>
      <c r="L15" s="113" t="s">
        <v>22</v>
      </c>
      <c r="M15" s="113" t="s">
        <v>23</v>
      </c>
      <c r="N15" s="113" t="s">
        <v>24</v>
      </c>
      <c r="O15" s="113" t="s">
        <v>25</v>
      </c>
      <c r="P15" s="113" t="s">
        <v>26</v>
      </c>
      <c r="Q15" s="126" t="s">
        <v>27</v>
      </c>
      <c r="R15" s="233" t="s">
        <v>14</v>
      </c>
      <c r="S15" s="234"/>
      <c r="T15" s="113" t="s">
        <v>22</v>
      </c>
      <c r="U15" s="113" t="s">
        <v>23</v>
      </c>
      <c r="V15" s="113" t="s">
        <v>24</v>
      </c>
      <c r="W15" s="113" t="s">
        <v>25</v>
      </c>
      <c r="X15" s="113" t="s">
        <v>26</v>
      </c>
      <c r="Y15" s="126" t="s">
        <v>27</v>
      </c>
      <c r="Z15" s="102"/>
    </row>
    <row r="16" spans="2:26" s="13" customFormat="1" ht="30" customHeight="1">
      <c r="B16" s="103"/>
      <c r="C16" s="103"/>
      <c r="D16" s="128"/>
      <c r="E16" s="128"/>
      <c r="F16" s="128"/>
      <c r="G16" s="128"/>
      <c r="H16" s="128"/>
      <c r="I16" s="103"/>
      <c r="J16" s="103"/>
      <c r="K16" s="103"/>
      <c r="L16" s="128"/>
      <c r="M16" s="128"/>
      <c r="N16" s="128"/>
      <c r="O16" s="128"/>
      <c r="P16" s="128"/>
      <c r="Q16" s="103"/>
      <c r="R16" s="103"/>
      <c r="S16" s="103"/>
      <c r="T16" s="128"/>
      <c r="U16" s="128"/>
      <c r="V16" s="128"/>
      <c r="W16" s="128"/>
      <c r="X16" s="128"/>
      <c r="Y16" s="103"/>
      <c r="Z16" s="102"/>
    </row>
    <row r="17" spans="2:26" s="13" customFormat="1" ht="30" customHeight="1">
      <c r="B17" s="230" t="str">
        <f>A9</f>
        <v>Lazzaroni Mathias   -   Tennis Tavolo Coniolo</v>
      </c>
      <c r="C17" s="231"/>
      <c r="D17" s="129"/>
      <c r="E17" s="129"/>
      <c r="F17" s="130"/>
      <c r="G17" s="131"/>
      <c r="H17" s="131"/>
      <c r="I17" s="132"/>
      <c r="J17" s="230" t="str">
        <f>A7</f>
        <v>Ottelli Daniel   -   Pol. Oratorio Pian Camuno A.S.D.</v>
      </c>
      <c r="K17" s="231"/>
      <c r="L17" s="129"/>
      <c r="M17" s="129"/>
      <c r="N17" s="130"/>
      <c r="O17" s="131"/>
      <c r="P17" s="131"/>
      <c r="Q17" s="132"/>
      <c r="R17" s="230" t="str">
        <f>A8</f>
        <v>Mineo Marco   -   Tennis Tavolo Coniolo</v>
      </c>
      <c r="S17" s="231"/>
      <c r="T17" s="129"/>
      <c r="U17" s="129"/>
      <c r="V17" s="130"/>
      <c r="W17" s="131"/>
      <c r="X17" s="131"/>
      <c r="Y17" s="132"/>
      <c r="Z17" s="102"/>
    </row>
    <row r="18" spans="2:26" s="13" customFormat="1" ht="30" customHeight="1">
      <c r="B18" s="230" t="str">
        <f>A6</f>
        <v>Buzzoni Nicolò   -   Pol. Oratorio Pian Camuno A.S.D.</v>
      </c>
      <c r="C18" s="231"/>
      <c r="D18" s="129"/>
      <c r="E18" s="129"/>
      <c r="F18" s="130"/>
      <c r="G18" s="131"/>
      <c r="H18" s="131"/>
      <c r="I18" s="132"/>
      <c r="J18" s="230" t="str">
        <f>A6</f>
        <v>Buzzoni Nicolò   -   Pol. Oratorio Pian Camuno A.S.D.</v>
      </c>
      <c r="K18" s="231"/>
      <c r="L18" s="129"/>
      <c r="M18" s="129"/>
      <c r="N18" s="130"/>
      <c r="O18" s="131"/>
      <c r="P18" s="131"/>
      <c r="Q18" s="132"/>
      <c r="R18" s="230" t="str">
        <f>A9</f>
        <v>Lazzaroni Mathias   -   Tennis Tavolo Coniolo</v>
      </c>
      <c r="S18" s="231"/>
      <c r="T18" s="129"/>
      <c r="U18" s="129"/>
      <c r="V18" s="130"/>
      <c r="W18" s="131"/>
      <c r="X18" s="131"/>
      <c r="Y18" s="132"/>
      <c r="Z18" s="102"/>
    </row>
    <row r="19" spans="2:26" s="13" customFormat="1" ht="30" customHeight="1">
      <c r="B19" s="232" t="s">
        <v>30</v>
      </c>
      <c r="C19" s="232"/>
      <c r="D19" s="227" t="str">
        <f>A7</f>
        <v>Ottelli Daniel   -   Pol. Oratorio Pian Camuno A.S.D.</v>
      </c>
      <c r="E19" s="227"/>
      <c r="F19" s="227"/>
      <c r="G19" s="227"/>
      <c r="H19" s="227"/>
      <c r="I19" s="227"/>
      <c r="J19" s="232" t="s">
        <v>30</v>
      </c>
      <c r="K19" s="232"/>
      <c r="L19" s="227" t="str">
        <f>A8</f>
        <v>Mineo Marco   -   Tennis Tavolo Coniolo</v>
      </c>
      <c r="M19" s="227"/>
      <c r="N19" s="227"/>
      <c r="O19" s="227"/>
      <c r="P19" s="227"/>
      <c r="Q19" s="227"/>
      <c r="R19" s="232" t="s">
        <v>30</v>
      </c>
      <c r="S19" s="232"/>
      <c r="T19" s="227" t="str">
        <f>A6</f>
        <v>Buzzoni Nicolò   -   Pol. Oratorio Pian Camuno A.S.D.</v>
      </c>
      <c r="U19" s="227"/>
      <c r="V19" s="227"/>
      <c r="W19" s="227"/>
      <c r="X19" s="227"/>
      <c r="Y19" s="227"/>
      <c r="Z19" s="102"/>
    </row>
    <row r="20" spans="2:26" s="13" customFormat="1" ht="30" customHeight="1">
      <c r="B20" s="228" t="s">
        <v>31</v>
      </c>
      <c r="C20" s="228"/>
      <c r="D20" s="229">
        <f>IF(I17&gt;I18,B17,IF(I17&lt;I18,B18,""))</f>
      </c>
      <c r="E20" s="229"/>
      <c r="F20" s="229"/>
      <c r="G20" s="229"/>
      <c r="H20" s="229"/>
      <c r="I20" s="229"/>
      <c r="J20" s="228" t="s">
        <v>31</v>
      </c>
      <c r="K20" s="228"/>
      <c r="L20" s="229">
        <f>IF(Q17&gt;Q18,J17,IF(Q17&lt;Q18,J18,""))</f>
      </c>
      <c r="M20" s="229"/>
      <c r="N20" s="229"/>
      <c r="O20" s="229"/>
      <c r="P20" s="229"/>
      <c r="Q20" s="229"/>
      <c r="R20" s="228" t="s">
        <v>31</v>
      </c>
      <c r="S20" s="228"/>
      <c r="T20" s="229">
        <f>IF(Y17&gt;Y18,R17,IF(Y17&lt;Y18,R18,""))</f>
      </c>
      <c r="U20" s="229"/>
      <c r="V20" s="229"/>
      <c r="W20" s="229"/>
      <c r="X20" s="229"/>
      <c r="Y20" s="229"/>
      <c r="Z20" s="102"/>
    </row>
    <row r="21" spans="2:26" s="13" customFormat="1" ht="26.25" customHeight="1">
      <c r="B21" s="238" t="s">
        <v>0</v>
      </c>
      <c r="C21" s="238"/>
      <c r="D21" s="238"/>
      <c r="E21" s="238"/>
      <c r="F21" s="238"/>
      <c r="G21" s="238"/>
      <c r="H21" s="238"/>
      <c r="I21" s="238"/>
      <c r="J21" s="238" t="s">
        <v>0</v>
      </c>
      <c r="K21" s="238"/>
      <c r="L21" s="238"/>
      <c r="M21" s="238"/>
      <c r="N21" s="238"/>
      <c r="O21" s="238"/>
      <c r="P21" s="238"/>
      <c r="Q21" s="238"/>
      <c r="R21" s="238" t="s">
        <v>0</v>
      </c>
      <c r="S21" s="238"/>
      <c r="T21" s="238"/>
      <c r="U21" s="238"/>
      <c r="V21" s="238"/>
      <c r="W21" s="238"/>
      <c r="X21" s="238"/>
      <c r="Y21" s="238"/>
      <c r="Z21" s="7"/>
    </row>
    <row r="22" spans="2:25" s="13" customFormat="1" ht="26.25" customHeight="1">
      <c r="B22" s="239" t="s">
        <v>1</v>
      </c>
      <c r="C22" s="239"/>
      <c r="D22" s="239"/>
      <c r="E22" s="239"/>
      <c r="F22" s="239"/>
      <c r="G22" s="239"/>
      <c r="H22" s="239"/>
      <c r="I22" s="239"/>
      <c r="J22" s="239" t="s">
        <v>1</v>
      </c>
      <c r="K22" s="239"/>
      <c r="L22" s="239"/>
      <c r="M22" s="239"/>
      <c r="N22" s="239"/>
      <c r="O22" s="239"/>
      <c r="P22" s="239"/>
      <c r="Q22" s="239"/>
      <c r="R22" s="239" t="s">
        <v>1</v>
      </c>
      <c r="S22" s="239"/>
      <c r="T22" s="239"/>
      <c r="U22" s="239"/>
      <c r="V22" s="239"/>
      <c r="W22" s="239"/>
      <c r="X22" s="239"/>
      <c r="Y22" s="239"/>
    </row>
    <row r="23" spans="2:26" s="13" customFormat="1" ht="20.25" customHeight="1">
      <c r="B23" s="235" t="str">
        <f>B3</f>
        <v>Cat. UNDER 13 M</v>
      </c>
      <c r="C23" s="235"/>
      <c r="D23" s="235"/>
      <c r="E23" s="235" t="s">
        <v>69</v>
      </c>
      <c r="F23" s="235"/>
      <c r="G23" s="235"/>
      <c r="H23" s="124" t="s">
        <v>67</v>
      </c>
      <c r="I23" s="161" t="str">
        <f>REPT(gironi!A20,1)</f>
        <v>7</v>
      </c>
      <c r="J23" s="235" t="str">
        <f>B23</f>
        <v>Cat. UNDER 13 M</v>
      </c>
      <c r="K23" s="235"/>
      <c r="L23" s="235"/>
      <c r="M23" s="235" t="str">
        <f>E23</f>
        <v>Girone 2</v>
      </c>
      <c r="N23" s="235"/>
      <c r="O23" s="235"/>
      <c r="P23" s="124" t="s">
        <v>67</v>
      </c>
      <c r="Q23" s="161">
        <f>REPT(gironi!A21,1)</f>
      </c>
      <c r="R23" s="235" t="str">
        <f>J23</f>
        <v>Cat. UNDER 13 M</v>
      </c>
      <c r="S23" s="235"/>
      <c r="T23" s="235"/>
      <c r="U23" s="235" t="str">
        <f>M23</f>
        <v>Girone 2</v>
      </c>
      <c r="V23" s="235"/>
      <c r="W23" s="235"/>
      <c r="X23" s="124" t="s">
        <v>67</v>
      </c>
      <c r="Y23" s="161">
        <f>REPT(gironi!A22,1)</f>
      </c>
      <c r="Z23" s="7"/>
    </row>
    <row r="24" spans="2:26" s="13" customFormat="1" ht="18" customHeight="1">
      <c r="B24" s="220" t="s">
        <v>16</v>
      </c>
      <c r="C24" s="220"/>
      <c r="D24" s="220"/>
      <c r="E24" s="220"/>
      <c r="F24" s="220"/>
      <c r="G24" s="236"/>
      <c r="H24" s="125" t="s">
        <v>66</v>
      </c>
      <c r="I24" s="162" t="str">
        <f>REPT(gironi!B20,1)</f>
        <v>14,3</v>
      </c>
      <c r="J24" s="237" t="s">
        <v>17</v>
      </c>
      <c r="K24" s="237"/>
      <c r="L24" s="237"/>
      <c r="M24" s="237"/>
      <c r="N24" s="237"/>
      <c r="O24" s="237"/>
      <c r="P24" s="125" t="s">
        <v>66</v>
      </c>
      <c r="Q24" s="162">
        <f>REPT(gironi!B21,1)</f>
      </c>
      <c r="R24" s="236" t="s">
        <v>18</v>
      </c>
      <c r="S24" s="237"/>
      <c r="T24" s="237"/>
      <c r="U24" s="237"/>
      <c r="V24" s="237"/>
      <c r="W24" s="237"/>
      <c r="X24" s="125" t="s">
        <v>66</v>
      </c>
      <c r="Y24" s="162">
        <f>REPT(gironi!B22,1)</f>
      </c>
      <c r="Z24" s="7"/>
    </row>
    <row r="25" spans="2:26" s="13" customFormat="1" ht="20.25" customHeight="1">
      <c r="B25" s="233" t="s">
        <v>14</v>
      </c>
      <c r="C25" s="234"/>
      <c r="D25" s="113" t="s">
        <v>22</v>
      </c>
      <c r="E25" s="113" t="s">
        <v>23</v>
      </c>
      <c r="F25" s="113" t="s">
        <v>24</v>
      </c>
      <c r="G25" s="113" t="s">
        <v>25</v>
      </c>
      <c r="H25" s="113" t="s">
        <v>26</v>
      </c>
      <c r="I25" s="126" t="s">
        <v>27</v>
      </c>
      <c r="J25" s="233" t="s">
        <v>14</v>
      </c>
      <c r="K25" s="234"/>
      <c r="L25" s="113" t="s">
        <v>22</v>
      </c>
      <c r="M25" s="113" t="s">
        <v>23</v>
      </c>
      <c r="N25" s="113" t="s">
        <v>24</v>
      </c>
      <c r="O25" s="113" t="s">
        <v>25</v>
      </c>
      <c r="P25" s="113" t="s">
        <v>26</v>
      </c>
      <c r="Q25" s="126" t="s">
        <v>27</v>
      </c>
      <c r="R25" s="233" t="s">
        <v>14</v>
      </c>
      <c r="S25" s="234"/>
      <c r="T25" s="113" t="s">
        <v>22</v>
      </c>
      <c r="U25" s="113" t="s">
        <v>23</v>
      </c>
      <c r="V25" s="113" t="s">
        <v>24</v>
      </c>
      <c r="W25" s="113" t="s">
        <v>25</v>
      </c>
      <c r="X25" s="113" t="s">
        <v>26</v>
      </c>
      <c r="Y25" s="126" t="s">
        <v>27</v>
      </c>
      <c r="Z25" s="7"/>
    </row>
    <row r="26" spans="1:26" s="13" customFormat="1" ht="30" customHeight="1">
      <c r="A26" s="127" t="str">
        <f>REPT(gironi!D20,1)</f>
        <v>Fanchini Cristian   -   Pol. Oratorio Pian Camuno A.S.D.</v>
      </c>
      <c r="B26" s="103"/>
      <c r="C26" s="103"/>
      <c r="D26" s="128"/>
      <c r="E26" s="128"/>
      <c r="F26" s="128"/>
      <c r="G26" s="128"/>
      <c r="H26" s="128"/>
      <c r="I26" s="103"/>
      <c r="J26" s="103"/>
      <c r="K26" s="103"/>
      <c r="L26" s="128"/>
      <c r="M26" s="128"/>
      <c r="N26" s="128"/>
      <c r="O26" s="128"/>
      <c r="P26" s="128"/>
      <c r="Q26" s="103"/>
      <c r="R26" s="103"/>
      <c r="S26" s="103"/>
      <c r="T26" s="128"/>
      <c r="U26" s="128"/>
      <c r="V26" s="128"/>
      <c r="W26" s="128"/>
      <c r="X26" s="128"/>
      <c r="Y26" s="103"/>
      <c r="Z26" s="7"/>
    </row>
    <row r="27" spans="1:26" s="13" customFormat="1" ht="30" customHeight="1">
      <c r="A27" s="127" t="str">
        <f>REPT(gironi!D21,1)</f>
        <v>Tempini Lorenzo   -   Pol. Oratorio Pian Camuno A.S.D.</v>
      </c>
      <c r="B27" s="241" t="str">
        <f>A26</f>
        <v>Fanchini Cristian   -   Pol. Oratorio Pian Camuno A.S.D.</v>
      </c>
      <c r="C27" s="231"/>
      <c r="D27" s="129"/>
      <c r="E27" s="129"/>
      <c r="F27" s="130"/>
      <c r="G27" s="131"/>
      <c r="H27" s="131"/>
      <c r="I27" s="132"/>
      <c r="J27" s="230" t="str">
        <f>A27</f>
        <v>Tempini Lorenzo   -   Pol. Oratorio Pian Camuno A.S.D.</v>
      </c>
      <c r="K27" s="231"/>
      <c r="L27" s="129"/>
      <c r="M27" s="129"/>
      <c r="N27" s="130"/>
      <c r="O27" s="131"/>
      <c r="P27" s="131"/>
      <c r="Q27" s="132"/>
      <c r="R27" s="230" t="str">
        <f>A28</f>
        <v>Bettelli Simone   -   Tennis Tavolo Coniolo</v>
      </c>
      <c r="S27" s="231"/>
      <c r="T27" s="129"/>
      <c r="U27" s="129"/>
      <c r="V27" s="130"/>
      <c r="W27" s="131"/>
      <c r="X27" s="131"/>
      <c r="Y27" s="132"/>
      <c r="Z27" s="7"/>
    </row>
    <row r="28" spans="1:26" s="13" customFormat="1" ht="30" customHeight="1">
      <c r="A28" s="127" t="str">
        <f>REPT(gironi!D22,1)</f>
        <v>Bettelli Simone   -   Tennis Tavolo Coniolo</v>
      </c>
      <c r="B28" s="241" t="str">
        <f>A28</f>
        <v>Bettelli Simone   -   Tennis Tavolo Coniolo</v>
      </c>
      <c r="C28" s="231"/>
      <c r="D28" s="129"/>
      <c r="E28" s="129"/>
      <c r="F28" s="130"/>
      <c r="G28" s="131"/>
      <c r="H28" s="131"/>
      <c r="I28" s="132"/>
      <c r="J28" s="230" t="str">
        <f>A29</f>
        <v>Loda Giorgio   -   Tennis Tavolo Coniolo</v>
      </c>
      <c r="K28" s="231"/>
      <c r="L28" s="129"/>
      <c r="M28" s="129"/>
      <c r="N28" s="130"/>
      <c r="O28" s="131"/>
      <c r="P28" s="131"/>
      <c r="Q28" s="132"/>
      <c r="R28" s="230" t="str">
        <f>A27</f>
        <v>Tempini Lorenzo   -   Pol. Oratorio Pian Camuno A.S.D.</v>
      </c>
      <c r="S28" s="231"/>
      <c r="T28" s="129"/>
      <c r="U28" s="129"/>
      <c r="V28" s="130"/>
      <c r="W28" s="131"/>
      <c r="X28" s="131"/>
      <c r="Y28" s="132"/>
      <c r="Z28" s="7"/>
    </row>
    <row r="29" spans="1:26" s="13" customFormat="1" ht="30" customHeight="1">
      <c r="A29" s="127" t="str">
        <f>REPT(gironi!D23,1)</f>
        <v>Loda Giorgio   -   Tennis Tavolo Coniolo</v>
      </c>
      <c r="B29" s="232" t="s">
        <v>30</v>
      </c>
      <c r="C29" s="232"/>
      <c r="D29" s="227" t="str">
        <f>A29</f>
        <v>Loda Giorgio   -   Tennis Tavolo Coniolo</v>
      </c>
      <c r="E29" s="227"/>
      <c r="F29" s="227"/>
      <c r="G29" s="227"/>
      <c r="H29" s="227"/>
      <c r="I29" s="227"/>
      <c r="J29" s="232" t="s">
        <v>30</v>
      </c>
      <c r="K29" s="232"/>
      <c r="L29" s="242" t="str">
        <f>A28</f>
        <v>Bettelli Simone   -   Tennis Tavolo Coniolo</v>
      </c>
      <c r="M29" s="242"/>
      <c r="N29" s="242"/>
      <c r="O29" s="242"/>
      <c r="P29" s="242"/>
      <c r="Q29" s="242"/>
      <c r="R29" s="232" t="s">
        <v>30</v>
      </c>
      <c r="S29" s="232"/>
      <c r="T29" s="227" t="str">
        <f>A26</f>
        <v>Fanchini Cristian   -   Pol. Oratorio Pian Camuno A.S.D.</v>
      </c>
      <c r="U29" s="227"/>
      <c r="V29" s="227"/>
      <c r="W29" s="227"/>
      <c r="X29" s="227"/>
      <c r="Y29" s="227"/>
      <c r="Z29" s="7"/>
    </row>
    <row r="30" spans="2:26" s="13" customFormat="1" ht="30" customHeight="1">
      <c r="B30" s="228" t="s">
        <v>31</v>
      </c>
      <c r="C30" s="228"/>
      <c r="D30" s="229">
        <f>IF(I27&gt;I28,B27,IF(I27&lt;I28,B28,""))</f>
      </c>
      <c r="E30" s="229"/>
      <c r="F30" s="229"/>
      <c r="G30" s="229"/>
      <c r="H30" s="229"/>
      <c r="I30" s="229"/>
      <c r="J30" s="228" t="s">
        <v>31</v>
      </c>
      <c r="K30" s="228"/>
      <c r="L30" s="240"/>
      <c r="M30" s="240"/>
      <c r="N30" s="240"/>
      <c r="O30" s="240"/>
      <c r="P30" s="240"/>
      <c r="Q30" s="240"/>
      <c r="R30" s="228" t="s">
        <v>31</v>
      </c>
      <c r="S30" s="228"/>
      <c r="T30" s="229">
        <f>IF(Y27&gt;Y28,R27,IF(Y27&lt;Y28,R28,""))</f>
      </c>
      <c r="U30" s="229"/>
      <c r="V30" s="229"/>
      <c r="W30" s="229"/>
      <c r="X30" s="229"/>
      <c r="Y30" s="229"/>
      <c r="Z30" s="7"/>
    </row>
    <row r="31" spans="2:26" s="13" customFormat="1" ht="26.25" customHeight="1">
      <c r="B31" s="238" t="s">
        <v>0</v>
      </c>
      <c r="C31" s="238"/>
      <c r="D31" s="238"/>
      <c r="E31" s="238"/>
      <c r="F31" s="238"/>
      <c r="G31" s="238"/>
      <c r="H31" s="238"/>
      <c r="I31" s="238"/>
      <c r="J31" s="238" t="s">
        <v>0</v>
      </c>
      <c r="K31" s="238"/>
      <c r="L31" s="238"/>
      <c r="M31" s="238"/>
      <c r="N31" s="238"/>
      <c r="O31" s="238"/>
      <c r="P31" s="238"/>
      <c r="Q31" s="238"/>
      <c r="R31" s="238" t="s">
        <v>0</v>
      </c>
      <c r="S31" s="238"/>
      <c r="T31" s="238"/>
      <c r="U31" s="238"/>
      <c r="V31" s="238"/>
      <c r="W31" s="238"/>
      <c r="X31" s="238"/>
      <c r="Y31" s="238"/>
      <c r="Z31" s="102"/>
    </row>
    <row r="32" spans="2:26" s="13" customFormat="1" ht="26.25" customHeight="1">
      <c r="B32" s="239" t="s">
        <v>1</v>
      </c>
      <c r="C32" s="239"/>
      <c r="D32" s="239"/>
      <c r="E32" s="239"/>
      <c r="F32" s="239"/>
      <c r="G32" s="239"/>
      <c r="H32" s="239"/>
      <c r="I32" s="239"/>
      <c r="J32" s="239" t="s">
        <v>1</v>
      </c>
      <c r="K32" s="239"/>
      <c r="L32" s="239"/>
      <c r="M32" s="239"/>
      <c r="N32" s="239"/>
      <c r="O32" s="239"/>
      <c r="P32" s="239"/>
      <c r="Q32" s="239"/>
      <c r="R32" s="239" t="s">
        <v>1</v>
      </c>
      <c r="S32" s="239"/>
      <c r="T32" s="239"/>
      <c r="U32" s="239"/>
      <c r="V32" s="239"/>
      <c r="W32" s="239"/>
      <c r="X32" s="239"/>
      <c r="Y32" s="239"/>
      <c r="Z32" s="102"/>
    </row>
    <row r="33" spans="2:26" s="13" customFormat="1" ht="20.25" customHeight="1">
      <c r="B33" s="235" t="str">
        <f>B23</f>
        <v>Cat. UNDER 13 M</v>
      </c>
      <c r="C33" s="235"/>
      <c r="D33" s="235"/>
      <c r="E33" s="235" t="str">
        <f>E23</f>
        <v>Girone 2</v>
      </c>
      <c r="F33" s="235"/>
      <c r="G33" s="235"/>
      <c r="H33" s="124" t="s">
        <v>67</v>
      </c>
      <c r="I33" s="161">
        <f>REPT(gironi!A23,1)</f>
      </c>
      <c r="J33" s="235" t="str">
        <f>J23</f>
        <v>Cat. UNDER 13 M</v>
      </c>
      <c r="K33" s="235"/>
      <c r="L33" s="235"/>
      <c r="M33" s="235" t="str">
        <f>M23</f>
        <v>Girone 2</v>
      </c>
      <c r="N33" s="235"/>
      <c r="O33" s="235"/>
      <c r="P33" s="124" t="s">
        <v>67</v>
      </c>
      <c r="Q33" s="161">
        <f>REPT(gironi!A24,1)</f>
      </c>
      <c r="R33" s="235" t="str">
        <f>R23</f>
        <v>Cat. UNDER 13 M</v>
      </c>
      <c r="S33" s="235"/>
      <c r="T33" s="235"/>
      <c r="U33" s="235" t="str">
        <f>U23</f>
        <v>Girone 2</v>
      </c>
      <c r="V33" s="235"/>
      <c r="W33" s="235"/>
      <c r="X33" s="124" t="s">
        <v>67</v>
      </c>
      <c r="Y33" s="161">
        <f>REPT(gironi!A25,1)</f>
      </c>
      <c r="Z33" s="102"/>
    </row>
    <row r="34" spans="2:26" s="13" customFormat="1" ht="20.25" customHeight="1">
      <c r="B34" s="236" t="s">
        <v>103</v>
      </c>
      <c r="C34" s="237"/>
      <c r="D34" s="237"/>
      <c r="E34" s="237"/>
      <c r="F34" s="237"/>
      <c r="G34" s="237"/>
      <c r="H34" s="125" t="s">
        <v>66</v>
      </c>
      <c r="I34" s="162">
        <f>REPT(gironi!B23,1)</f>
      </c>
      <c r="J34" s="236" t="s">
        <v>104</v>
      </c>
      <c r="K34" s="237"/>
      <c r="L34" s="237"/>
      <c r="M34" s="237"/>
      <c r="N34" s="237"/>
      <c r="O34" s="237"/>
      <c r="P34" s="125" t="s">
        <v>66</v>
      </c>
      <c r="Q34" s="162">
        <f>REPT(gironi!B24,1)</f>
      </c>
      <c r="R34" s="236" t="s">
        <v>105</v>
      </c>
      <c r="S34" s="237"/>
      <c r="T34" s="237"/>
      <c r="U34" s="237"/>
      <c r="V34" s="237"/>
      <c r="W34" s="237"/>
      <c r="X34" s="125" t="s">
        <v>66</v>
      </c>
      <c r="Y34" s="162">
        <f>REPT(gironi!B25,1)</f>
      </c>
      <c r="Z34" s="102"/>
    </row>
    <row r="35" spans="2:26" s="13" customFormat="1" ht="20.25" customHeight="1">
      <c r="B35" s="233" t="s">
        <v>14</v>
      </c>
      <c r="C35" s="234"/>
      <c r="D35" s="113" t="s">
        <v>22</v>
      </c>
      <c r="E35" s="113" t="s">
        <v>23</v>
      </c>
      <c r="F35" s="113" t="s">
        <v>24</v>
      </c>
      <c r="G35" s="113" t="s">
        <v>25</v>
      </c>
      <c r="H35" s="113" t="s">
        <v>26</v>
      </c>
      <c r="I35" s="126" t="s">
        <v>27</v>
      </c>
      <c r="J35" s="233" t="s">
        <v>14</v>
      </c>
      <c r="K35" s="234"/>
      <c r="L35" s="113" t="s">
        <v>22</v>
      </c>
      <c r="M35" s="113" t="s">
        <v>23</v>
      </c>
      <c r="N35" s="113" t="s">
        <v>24</v>
      </c>
      <c r="O35" s="113" t="s">
        <v>25</v>
      </c>
      <c r="P35" s="113" t="s">
        <v>26</v>
      </c>
      <c r="Q35" s="126" t="s">
        <v>27</v>
      </c>
      <c r="R35" s="233" t="s">
        <v>14</v>
      </c>
      <c r="S35" s="234"/>
      <c r="T35" s="113" t="s">
        <v>22</v>
      </c>
      <c r="U35" s="113" t="s">
        <v>23</v>
      </c>
      <c r="V35" s="113" t="s">
        <v>24</v>
      </c>
      <c r="W35" s="113" t="s">
        <v>25</v>
      </c>
      <c r="X35" s="113" t="s">
        <v>26</v>
      </c>
      <c r="Y35" s="126" t="s">
        <v>27</v>
      </c>
      <c r="Z35" s="102"/>
    </row>
    <row r="36" spans="2:26" s="13" customFormat="1" ht="30" customHeight="1">
      <c r="B36" s="103"/>
      <c r="C36" s="103"/>
      <c r="D36" s="128"/>
      <c r="E36" s="128"/>
      <c r="F36" s="128"/>
      <c r="G36" s="128"/>
      <c r="H36" s="128"/>
      <c r="I36" s="103"/>
      <c r="J36" s="103"/>
      <c r="K36" s="103"/>
      <c r="L36" s="128"/>
      <c r="M36" s="128"/>
      <c r="N36" s="128"/>
      <c r="O36" s="128"/>
      <c r="P36" s="128"/>
      <c r="Q36" s="103"/>
      <c r="R36" s="103"/>
      <c r="S36" s="103"/>
      <c r="T36" s="128"/>
      <c r="U36" s="128"/>
      <c r="V36" s="128"/>
      <c r="W36" s="128"/>
      <c r="X36" s="128"/>
      <c r="Y36" s="103"/>
      <c r="Z36" s="102"/>
    </row>
    <row r="37" spans="2:26" s="13" customFormat="1" ht="30" customHeight="1">
      <c r="B37" s="230" t="str">
        <f>A29</f>
        <v>Loda Giorgio   -   Tennis Tavolo Coniolo</v>
      </c>
      <c r="C37" s="231"/>
      <c r="D37" s="129"/>
      <c r="E37" s="129"/>
      <c r="F37" s="130"/>
      <c r="G37" s="131"/>
      <c r="H37" s="131"/>
      <c r="I37" s="132"/>
      <c r="J37" s="230" t="str">
        <f>A27</f>
        <v>Tempini Lorenzo   -   Pol. Oratorio Pian Camuno A.S.D.</v>
      </c>
      <c r="K37" s="231"/>
      <c r="L37" s="129"/>
      <c r="M37" s="129"/>
      <c r="N37" s="130"/>
      <c r="O37" s="131"/>
      <c r="P37" s="131"/>
      <c r="Q37" s="132"/>
      <c r="R37" s="230" t="str">
        <f>A28</f>
        <v>Bettelli Simone   -   Tennis Tavolo Coniolo</v>
      </c>
      <c r="S37" s="231"/>
      <c r="T37" s="129"/>
      <c r="U37" s="129"/>
      <c r="V37" s="130"/>
      <c r="W37" s="131"/>
      <c r="X37" s="131"/>
      <c r="Y37" s="132"/>
      <c r="Z37" s="102"/>
    </row>
    <row r="38" spans="2:26" s="13" customFormat="1" ht="30" customHeight="1">
      <c r="B38" s="230" t="str">
        <f>A26</f>
        <v>Fanchini Cristian   -   Pol. Oratorio Pian Camuno A.S.D.</v>
      </c>
      <c r="C38" s="231"/>
      <c r="D38" s="129"/>
      <c r="E38" s="129"/>
      <c r="F38" s="130"/>
      <c r="G38" s="131"/>
      <c r="H38" s="131"/>
      <c r="I38" s="132"/>
      <c r="J38" s="230" t="str">
        <f>A26</f>
        <v>Fanchini Cristian   -   Pol. Oratorio Pian Camuno A.S.D.</v>
      </c>
      <c r="K38" s="231"/>
      <c r="L38" s="129"/>
      <c r="M38" s="129"/>
      <c r="N38" s="130"/>
      <c r="O38" s="131"/>
      <c r="P38" s="131"/>
      <c r="Q38" s="132"/>
      <c r="R38" s="230" t="str">
        <f>A29</f>
        <v>Loda Giorgio   -   Tennis Tavolo Coniolo</v>
      </c>
      <c r="S38" s="231"/>
      <c r="T38" s="129"/>
      <c r="U38" s="129"/>
      <c r="V38" s="130"/>
      <c r="W38" s="131"/>
      <c r="X38" s="131"/>
      <c r="Y38" s="132"/>
      <c r="Z38" s="102"/>
    </row>
    <row r="39" spans="2:26" s="13" customFormat="1" ht="30" customHeight="1">
      <c r="B39" s="232" t="s">
        <v>30</v>
      </c>
      <c r="C39" s="232"/>
      <c r="D39" s="227" t="str">
        <f>A27</f>
        <v>Tempini Lorenzo   -   Pol. Oratorio Pian Camuno A.S.D.</v>
      </c>
      <c r="E39" s="227"/>
      <c r="F39" s="227"/>
      <c r="G39" s="227"/>
      <c r="H39" s="227"/>
      <c r="I39" s="227"/>
      <c r="J39" s="232" t="s">
        <v>30</v>
      </c>
      <c r="K39" s="232"/>
      <c r="L39" s="227" t="str">
        <f>A28</f>
        <v>Bettelli Simone   -   Tennis Tavolo Coniolo</v>
      </c>
      <c r="M39" s="227"/>
      <c r="N39" s="227"/>
      <c r="O39" s="227"/>
      <c r="P39" s="227"/>
      <c r="Q39" s="227"/>
      <c r="R39" s="232" t="s">
        <v>30</v>
      </c>
      <c r="S39" s="232"/>
      <c r="T39" s="227" t="str">
        <f>A26</f>
        <v>Fanchini Cristian   -   Pol. Oratorio Pian Camuno A.S.D.</v>
      </c>
      <c r="U39" s="227"/>
      <c r="V39" s="227"/>
      <c r="W39" s="227"/>
      <c r="X39" s="227"/>
      <c r="Y39" s="227"/>
      <c r="Z39" s="102"/>
    </row>
    <row r="40" spans="2:26" s="13" customFormat="1" ht="30" customHeight="1">
      <c r="B40" s="228" t="s">
        <v>31</v>
      </c>
      <c r="C40" s="228"/>
      <c r="D40" s="229">
        <f>IF(I37&gt;I38,B37,IF(I37&lt;I38,B38,""))</f>
      </c>
      <c r="E40" s="229"/>
      <c r="F40" s="229"/>
      <c r="G40" s="229"/>
      <c r="H40" s="229"/>
      <c r="I40" s="229"/>
      <c r="J40" s="228" t="s">
        <v>31</v>
      </c>
      <c r="K40" s="228"/>
      <c r="L40" s="229">
        <f>IF(Q37&gt;Q38,J37,IF(Q37&lt;Q38,J38,""))</f>
      </c>
      <c r="M40" s="229"/>
      <c r="N40" s="229"/>
      <c r="O40" s="229"/>
      <c r="P40" s="229"/>
      <c r="Q40" s="229"/>
      <c r="R40" s="228" t="s">
        <v>31</v>
      </c>
      <c r="S40" s="228"/>
      <c r="T40" s="229">
        <f>IF(Y37&gt;Y38,R37,IF(Y37&lt;Y38,R38,""))</f>
      </c>
      <c r="U40" s="229"/>
      <c r="V40" s="229"/>
      <c r="W40" s="229"/>
      <c r="X40" s="229"/>
      <c r="Y40" s="229"/>
      <c r="Z40" s="102"/>
    </row>
  </sheetData>
  <sheetProtection password="C78D" sheet="1" objects="1" scenarios="1"/>
  <mergeCells count="144">
    <mergeCell ref="E3:G3"/>
    <mergeCell ref="B9:C9"/>
    <mergeCell ref="B7:C7"/>
    <mergeCell ref="B8:C8"/>
    <mergeCell ref="B3:D3"/>
    <mergeCell ref="B5:C5"/>
    <mergeCell ref="B4:G4"/>
    <mergeCell ref="B1:I1"/>
    <mergeCell ref="J1:Q1"/>
    <mergeCell ref="R1:Y1"/>
    <mergeCell ref="B2:I2"/>
    <mergeCell ref="J2:Q2"/>
    <mergeCell ref="R2:Y2"/>
    <mergeCell ref="J3:L3"/>
    <mergeCell ref="M3:O3"/>
    <mergeCell ref="R3:T3"/>
    <mergeCell ref="J7:K7"/>
    <mergeCell ref="R7:S7"/>
    <mergeCell ref="J4:O4"/>
    <mergeCell ref="R4:W4"/>
    <mergeCell ref="U3:W3"/>
    <mergeCell ref="J5:K5"/>
    <mergeCell ref="R5:S5"/>
    <mergeCell ref="R11:Y11"/>
    <mergeCell ref="B12:I12"/>
    <mergeCell ref="J12:Q12"/>
    <mergeCell ref="R12:Y12"/>
    <mergeCell ref="B11:I11"/>
    <mergeCell ref="J11:Q11"/>
    <mergeCell ref="J8:K8"/>
    <mergeCell ref="R8:S8"/>
    <mergeCell ref="B10:C10"/>
    <mergeCell ref="D10:I10"/>
    <mergeCell ref="J10:K10"/>
    <mergeCell ref="L10:Q10"/>
    <mergeCell ref="R18:S18"/>
    <mergeCell ref="B17:C17"/>
    <mergeCell ref="J17:K17"/>
    <mergeCell ref="B18:C18"/>
    <mergeCell ref="J18:K18"/>
    <mergeCell ref="R19:S19"/>
    <mergeCell ref="R10:S10"/>
    <mergeCell ref="T10:Y10"/>
    <mergeCell ref="D9:I9"/>
    <mergeCell ref="J9:K9"/>
    <mergeCell ref="L9:Q9"/>
    <mergeCell ref="T9:Y9"/>
    <mergeCell ref="R9:S9"/>
    <mergeCell ref="R13:T13"/>
    <mergeCell ref="U13:W13"/>
    <mergeCell ref="J14:O14"/>
    <mergeCell ref="R14:W14"/>
    <mergeCell ref="R15:S15"/>
    <mergeCell ref="B14:G14"/>
    <mergeCell ref="B13:D13"/>
    <mergeCell ref="E13:G13"/>
    <mergeCell ref="J13:L13"/>
    <mergeCell ref="M13:O13"/>
    <mergeCell ref="T19:Y19"/>
    <mergeCell ref="J19:K19"/>
    <mergeCell ref="L19:Q19"/>
    <mergeCell ref="B15:C15"/>
    <mergeCell ref="J15:K15"/>
    <mergeCell ref="R20:S20"/>
    <mergeCell ref="T20:Y20"/>
    <mergeCell ref="B19:C19"/>
    <mergeCell ref="D19:I19"/>
    <mergeCell ref="R17:S17"/>
    <mergeCell ref="B21:I21"/>
    <mergeCell ref="J21:Q21"/>
    <mergeCell ref="R21:Y21"/>
    <mergeCell ref="B20:C20"/>
    <mergeCell ref="D20:I20"/>
    <mergeCell ref="J20:K20"/>
    <mergeCell ref="L20:Q20"/>
    <mergeCell ref="B22:I22"/>
    <mergeCell ref="J22:Q22"/>
    <mergeCell ref="R22:Y22"/>
    <mergeCell ref="B23:D23"/>
    <mergeCell ref="E23:G23"/>
    <mergeCell ref="J23:L23"/>
    <mergeCell ref="M23:O23"/>
    <mergeCell ref="R23:T23"/>
    <mergeCell ref="U23:W23"/>
    <mergeCell ref="B24:G24"/>
    <mergeCell ref="J24:O24"/>
    <mergeCell ref="R24:W24"/>
    <mergeCell ref="B25:C25"/>
    <mergeCell ref="J25:K25"/>
    <mergeCell ref="R25:S25"/>
    <mergeCell ref="R27:S27"/>
    <mergeCell ref="B28:C28"/>
    <mergeCell ref="J28:K28"/>
    <mergeCell ref="R28:S28"/>
    <mergeCell ref="J29:K29"/>
    <mergeCell ref="L29:Q29"/>
    <mergeCell ref="B27:C27"/>
    <mergeCell ref="J27:K27"/>
    <mergeCell ref="R29:S29"/>
    <mergeCell ref="T29:Y29"/>
    <mergeCell ref="B30:C30"/>
    <mergeCell ref="D30:I30"/>
    <mergeCell ref="J30:K30"/>
    <mergeCell ref="L30:Q30"/>
    <mergeCell ref="R30:S30"/>
    <mergeCell ref="T30:Y30"/>
    <mergeCell ref="B29:C29"/>
    <mergeCell ref="D29:I29"/>
    <mergeCell ref="B31:I31"/>
    <mergeCell ref="J31:Q31"/>
    <mergeCell ref="R31:Y31"/>
    <mergeCell ref="B32:I32"/>
    <mergeCell ref="J32:Q32"/>
    <mergeCell ref="R32:Y32"/>
    <mergeCell ref="R33:T33"/>
    <mergeCell ref="U33:W33"/>
    <mergeCell ref="B34:G34"/>
    <mergeCell ref="J34:O34"/>
    <mergeCell ref="R34:W34"/>
    <mergeCell ref="B33:D33"/>
    <mergeCell ref="E33:G33"/>
    <mergeCell ref="J33:L33"/>
    <mergeCell ref="M33:O33"/>
    <mergeCell ref="B35:C35"/>
    <mergeCell ref="J35:K35"/>
    <mergeCell ref="R35:S35"/>
    <mergeCell ref="B37:C37"/>
    <mergeCell ref="J37:K37"/>
    <mergeCell ref="R37:S37"/>
    <mergeCell ref="B38:C38"/>
    <mergeCell ref="J38:K38"/>
    <mergeCell ref="R38:S38"/>
    <mergeCell ref="B39:C39"/>
    <mergeCell ref="D39:I39"/>
    <mergeCell ref="J39:K39"/>
    <mergeCell ref="L39:Q39"/>
    <mergeCell ref="R39:S39"/>
    <mergeCell ref="T39:Y39"/>
    <mergeCell ref="B40:C40"/>
    <mergeCell ref="D40:I40"/>
    <mergeCell ref="J40:K40"/>
    <mergeCell ref="L40:Q40"/>
    <mergeCell ref="R40:S40"/>
    <mergeCell ref="T40:Y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11" r:id="rId2"/>
  <headerFooter alignWithMargins="0">
    <oddFooter>&amp;C&amp;1#&amp;"TIM Sans"&amp;8&amp;K4472C4TIM - Uso Interno - Tutti i diritti riservati.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"/>
  <sheetViews>
    <sheetView showGridLines="0" zoomScale="75" zoomScaleNormal="75" zoomScalePageLayoutView="0" workbookViewId="0" topLeftCell="A1">
      <selection activeCell="A8" sqref="A8:B8"/>
    </sheetView>
  </sheetViews>
  <sheetFormatPr defaultColWidth="4.7109375" defaultRowHeight="24.75" customHeight="1"/>
  <cols>
    <col min="1" max="2" width="5.7109375" style="96" customWidth="1"/>
    <col min="3" max="3" width="2.8515625" style="28" customWidth="1"/>
    <col min="4" max="4" width="20.7109375" style="139" customWidth="1"/>
    <col min="5" max="5" width="1.7109375" style="139" customWidth="1"/>
    <col min="6" max="6" width="20.7109375" style="139" customWidth="1"/>
    <col min="7" max="27" width="3.7109375" style="28" customWidth="1"/>
    <col min="28" max="31" width="5.140625" style="28" customWidth="1"/>
    <col min="32" max="32" width="2.57421875" style="28" customWidth="1"/>
    <col min="33" max="33" width="1.7109375" style="28" customWidth="1"/>
    <col min="34" max="37" width="5.140625" style="28" customWidth="1"/>
    <col min="38" max="38" width="2.57421875" style="28" customWidth="1"/>
    <col min="39" max="39" width="1.7109375" style="28" customWidth="1"/>
    <col min="40" max="41" width="9.7109375" style="28" customWidth="1"/>
    <col min="42" max="42" width="2.8515625" style="28" customWidth="1"/>
    <col min="43" max="43" width="1.7109375" style="28" customWidth="1"/>
    <col min="44" max="44" width="18.57421875" style="28" customWidth="1"/>
    <col min="45" max="16384" width="4.7109375" style="28" customWidth="1"/>
  </cols>
  <sheetData>
    <row r="1" spans="3:43" ht="21" customHeight="1">
      <c r="C1" s="249" t="s">
        <v>58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38"/>
      <c r="T1" s="38"/>
      <c r="U1" s="38"/>
      <c r="V1" s="38"/>
      <c r="W1" s="38"/>
      <c r="X1" s="38"/>
      <c r="Y1" s="38"/>
      <c r="Z1" s="38"/>
      <c r="AA1" s="38"/>
      <c r="AB1" s="253" t="str">
        <f>REPT('lista di qualificazione'!A1,1)</f>
        <v>Cat. UNDER 13 M</v>
      </c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</row>
    <row r="2" spans="19:40" ht="18.75" customHeight="1" thickBot="1">
      <c r="S2" s="177" t="s">
        <v>70</v>
      </c>
      <c r="T2" s="178"/>
      <c r="U2" s="178"/>
      <c r="V2" s="178"/>
      <c r="W2" s="178"/>
      <c r="X2" s="178"/>
      <c r="Y2" s="178"/>
      <c r="AB2" s="254" t="s">
        <v>56</v>
      </c>
      <c r="AC2" s="254"/>
      <c r="AD2" s="254"/>
      <c r="AE2" s="254"/>
      <c r="AF2" s="254"/>
      <c r="AG2" s="254"/>
      <c r="AH2" s="254" t="s">
        <v>57</v>
      </c>
      <c r="AI2" s="254"/>
      <c r="AJ2" s="254"/>
      <c r="AK2" s="254"/>
      <c r="AL2" s="254"/>
      <c r="AM2" s="254"/>
      <c r="AN2" s="254"/>
    </row>
    <row r="3" spans="1:27" ht="24.75" customHeight="1" thickBot="1">
      <c r="A3" s="43" t="s">
        <v>65</v>
      </c>
      <c r="B3" s="43" t="s">
        <v>66</v>
      </c>
      <c r="C3" s="250" t="s">
        <v>59</v>
      </c>
      <c r="D3" s="251"/>
      <c r="E3" s="251"/>
      <c r="F3" s="252"/>
      <c r="G3" s="243" t="s">
        <v>38</v>
      </c>
      <c r="H3" s="244"/>
      <c r="I3" s="243" t="s">
        <v>39</v>
      </c>
      <c r="J3" s="244"/>
      <c r="K3" s="243" t="s">
        <v>40</v>
      </c>
      <c r="L3" s="244"/>
      <c r="M3" s="243" t="s">
        <v>41</v>
      </c>
      <c r="N3" s="244"/>
      <c r="O3" s="243" t="s">
        <v>42</v>
      </c>
      <c r="P3" s="244"/>
      <c r="Q3" s="245" t="s">
        <v>43</v>
      </c>
      <c r="R3" s="246"/>
      <c r="S3" s="70"/>
      <c r="T3" s="70"/>
      <c r="U3" s="70"/>
      <c r="V3" s="70"/>
      <c r="W3" s="70"/>
      <c r="X3" s="70"/>
      <c r="Y3" s="70"/>
      <c r="Z3" s="8"/>
      <c r="AA3" s="8"/>
    </row>
    <row r="4" spans="1:27" ht="24.75" customHeight="1" thickBot="1">
      <c r="A4" s="97"/>
      <c r="B4" s="153"/>
      <c r="C4" s="133">
        <v>1</v>
      </c>
      <c r="D4" s="140" t="str">
        <f>AB6</f>
        <v>1° Classificato Girone 1</v>
      </c>
      <c r="E4" s="140" t="s">
        <v>32</v>
      </c>
      <c r="F4" s="141" t="str">
        <f>AB12</f>
        <v>2° Classificato Girone 2</v>
      </c>
      <c r="G4" s="36"/>
      <c r="H4" s="37"/>
      <c r="I4" s="36"/>
      <c r="J4" s="37"/>
      <c r="K4" s="36"/>
      <c r="L4" s="37"/>
      <c r="M4" s="36"/>
      <c r="N4" s="37"/>
      <c r="O4" s="36"/>
      <c r="P4" s="37"/>
      <c r="Q4" s="72">
        <f>IF(G4="","",IF(G4&lt;&gt;"",X4))</f>
      </c>
      <c r="R4" s="72">
        <f>IF(H4="","",IF(H4&lt;&gt;"",Y4))</f>
      </c>
      <c r="S4" s="59">
        <f>IF(AND(G4&lt;&gt;"",H4&lt;&gt;""),IF(G4&gt;H4,"c","f"),0)</f>
        <v>0</v>
      </c>
      <c r="T4" s="59">
        <f>IF(AND(I4&lt;&gt;"",J4&lt;&gt;""),IF(I4&gt;J4,"c","f"),0)</f>
        <v>0</v>
      </c>
      <c r="U4" s="59">
        <f>IF(AND(K4&lt;&gt;"",L4&lt;&gt;""),IF(K4&gt;L4,"c","f"),0)</f>
        <v>0</v>
      </c>
      <c r="V4" s="59">
        <f>IF(AND(M4&lt;&gt;"",N4&lt;&gt;""),IF(M4&gt;N4,"c","f"),0)</f>
        <v>0</v>
      </c>
      <c r="W4" s="59">
        <f>IF(AND(O4&lt;&gt;"",P4&lt;&gt;""),IF(O4&gt;P4,"c","f"),0)</f>
        <v>0</v>
      </c>
      <c r="X4" s="59">
        <f>COUNTIF(S4:W4,"c")</f>
        <v>0</v>
      </c>
      <c r="Y4" s="59">
        <f>COUNTIF(S4:W4,"f")</f>
        <v>0</v>
      </c>
      <c r="Z4" s="67"/>
      <c r="AA4" s="67"/>
    </row>
    <row r="5" spans="1:27" ht="21" customHeight="1" thickBot="1">
      <c r="A5" s="98"/>
      <c r="B5" s="154"/>
      <c r="C5" s="45">
        <v>2</v>
      </c>
      <c r="D5" s="142" t="str">
        <f>AB20</f>
        <v>2° Classificato Girone 1</v>
      </c>
      <c r="E5" s="142" t="s">
        <v>32</v>
      </c>
      <c r="F5" s="143" t="str">
        <f>AB26</f>
        <v>1° Classificato Girone 2</v>
      </c>
      <c r="G5" s="1"/>
      <c r="H5" s="2"/>
      <c r="I5" s="1"/>
      <c r="J5" s="2"/>
      <c r="K5" s="1"/>
      <c r="L5" s="2"/>
      <c r="M5" s="1"/>
      <c r="N5" s="2"/>
      <c r="O5" s="1"/>
      <c r="P5" s="2"/>
      <c r="Q5" s="72">
        <f>IF(G5="","",IF(G5&lt;&gt;"",X5))</f>
      </c>
      <c r="R5" s="72">
        <f>IF(H5="","",IF(H5&lt;&gt;"",Y5))</f>
      </c>
      <c r="S5" s="59">
        <f>IF(AND(G5&lt;&gt;"",H5&lt;&gt;""),IF(G5&gt;H5,"c","f"),0)</f>
        <v>0</v>
      </c>
      <c r="T5" s="59">
        <f>IF(AND(I5&lt;&gt;"",J5&lt;&gt;""),IF(I5&gt;J5,"c","f"),0)</f>
        <v>0</v>
      </c>
      <c r="U5" s="59">
        <f>IF(AND(K5&lt;&gt;"",L5&lt;&gt;""),IF(K5&gt;L5,"c","f"),0)</f>
        <v>0</v>
      </c>
      <c r="V5" s="59">
        <f>IF(AND(M5&lt;&gt;"",N5&lt;&gt;""),IF(M5&gt;N5,"c","f"),0)</f>
        <v>0</v>
      </c>
      <c r="W5" s="59">
        <f>IF(AND(O5&lt;&gt;"",P5&lt;&gt;""),IF(O5&gt;P5,"c","f"),0)</f>
        <v>0</v>
      </c>
      <c r="X5" s="59">
        <f>COUNTIF(S5:W5,"c")</f>
        <v>0</v>
      </c>
      <c r="Y5" s="59">
        <f>COUNTIF(S5:W5,"f")</f>
        <v>0</v>
      </c>
      <c r="Z5" s="67"/>
      <c r="AA5" s="67"/>
    </row>
    <row r="6" spans="19:32" ht="24.75" customHeight="1" thickBot="1">
      <c r="S6" s="69"/>
      <c r="T6" s="69"/>
      <c r="U6" s="69"/>
      <c r="V6" s="69"/>
      <c r="W6" s="69"/>
      <c r="X6" s="69"/>
      <c r="Y6" s="69"/>
      <c r="Z6" s="68"/>
      <c r="AA6" s="68"/>
      <c r="AB6" s="255" t="str">
        <f>IF(gironi!Z13=0,"1° Classificato Girone 1",IF(gironi!Z13&lt;&gt;0,gironi!AV15))</f>
        <v>1° Classificato Girone 1</v>
      </c>
      <c r="AC6" s="255"/>
      <c r="AD6" s="255"/>
      <c r="AE6" s="255"/>
      <c r="AF6" s="73">
        <f>IF(G4="","",IF(G4&lt;&gt;"",X4))</f>
      </c>
    </row>
    <row r="7" spans="1:33" ht="24.75" customHeight="1" thickBot="1">
      <c r="A7" s="43" t="s">
        <v>65</v>
      </c>
      <c r="B7" s="43" t="s">
        <v>66</v>
      </c>
      <c r="C7" s="250" t="s">
        <v>60</v>
      </c>
      <c r="D7" s="251"/>
      <c r="E7" s="251"/>
      <c r="F7" s="252"/>
      <c r="G7" s="243" t="s">
        <v>38</v>
      </c>
      <c r="H7" s="244"/>
      <c r="I7" s="243" t="s">
        <v>39</v>
      </c>
      <c r="J7" s="244"/>
      <c r="K7" s="243" t="s">
        <v>40</v>
      </c>
      <c r="L7" s="244"/>
      <c r="M7" s="243" t="s">
        <v>41</v>
      </c>
      <c r="N7" s="244"/>
      <c r="O7" s="243" t="s">
        <v>42</v>
      </c>
      <c r="P7" s="244"/>
      <c r="Q7" s="245" t="s">
        <v>43</v>
      </c>
      <c r="R7" s="246"/>
      <c r="S7" s="71"/>
      <c r="T7" s="70"/>
      <c r="U7" s="70"/>
      <c r="V7" s="70"/>
      <c r="W7" s="70"/>
      <c r="X7" s="70"/>
      <c r="Y7" s="70"/>
      <c r="Z7" s="8"/>
      <c r="AA7" s="8"/>
      <c r="AG7" s="32"/>
    </row>
    <row r="8" spans="1:33" ht="24.75" customHeight="1" thickBot="1">
      <c r="A8" s="99"/>
      <c r="B8" s="155"/>
      <c r="C8" s="134">
        <v>1</v>
      </c>
      <c r="D8" s="144">
        <f>IF(Q4&lt;R4,F4,IF(Q4&gt;R4,D4,""))</f>
      </c>
      <c r="E8" s="144" t="s">
        <v>32</v>
      </c>
      <c r="F8" s="145">
        <f>IF(Q5&lt;R5,F5,IF(Q5&gt;R5,D5,""))</f>
      </c>
      <c r="G8" s="3"/>
      <c r="H8" s="4"/>
      <c r="I8" s="3"/>
      <c r="J8" s="4"/>
      <c r="K8" s="3"/>
      <c r="L8" s="4"/>
      <c r="M8" s="3"/>
      <c r="N8" s="4"/>
      <c r="O8" s="3"/>
      <c r="P8" s="4"/>
      <c r="Q8" s="72">
        <f>IF(G8="","",IF(G8&lt;&gt;"",X8))</f>
      </c>
      <c r="R8" s="72">
        <f>IF(H8="","",IF(H8&lt;&gt;"",Y8))</f>
      </c>
      <c r="S8" s="59">
        <f>IF(AND(G8&lt;&gt;"",H8&lt;&gt;""),IF(G8&gt;H8,"c","f"),0)</f>
        <v>0</v>
      </c>
      <c r="T8" s="59">
        <f>IF(AND(I8&lt;&gt;"",J8&lt;&gt;""),IF(I8&gt;J8,"c","f"),0)</f>
        <v>0</v>
      </c>
      <c r="U8" s="59">
        <f>IF(AND(K8&lt;&gt;"",L8&lt;&gt;""),IF(K8&gt;L8,"c","f"),0)</f>
        <v>0</v>
      </c>
      <c r="V8" s="59">
        <f>IF(AND(M8&lt;&gt;"",N8&lt;&gt;""),IF(M8&gt;N8,"c","f"),0)</f>
        <v>0</v>
      </c>
      <c r="W8" s="59">
        <f>IF(AND(O8&lt;&gt;"",P8&lt;&gt;""),IF(O8&gt;P8,"c","f"),0)</f>
        <v>0</v>
      </c>
      <c r="X8" s="59">
        <f>COUNTIF(S8:W8,"c")</f>
        <v>0</v>
      </c>
      <c r="Y8" s="59">
        <f>COUNTIF(S8:W8,"f")</f>
        <v>0</v>
      </c>
      <c r="Z8" s="67"/>
      <c r="AA8" s="67"/>
      <c r="AC8" s="96"/>
      <c r="AD8" s="96"/>
      <c r="AG8" s="33"/>
    </row>
    <row r="9" spans="26:38" ht="24.75" customHeight="1">
      <c r="Z9" s="67"/>
      <c r="AA9" s="67"/>
      <c r="AB9" s="96" t="s">
        <v>65</v>
      </c>
      <c r="AC9" s="74">
        <f>REPT(A4,1)</f>
      </c>
      <c r="AD9" s="96" t="s">
        <v>66</v>
      </c>
      <c r="AE9" s="74">
        <f>REPT(B4,1)</f>
      </c>
      <c r="AG9" s="33"/>
      <c r="AH9" s="247">
        <f>REPT(D8,1)</f>
      </c>
      <c r="AI9" s="247"/>
      <c r="AJ9" s="247"/>
      <c r="AK9" s="247"/>
      <c r="AL9" s="73">
        <f>IF(G8="","",IF(G8&lt;&gt;"",X8))</f>
      </c>
    </row>
    <row r="10" spans="33:39" ht="24.75" customHeight="1">
      <c r="AG10" s="33"/>
      <c r="AM10" s="35"/>
    </row>
    <row r="11" spans="26:39" ht="24.75" customHeight="1">
      <c r="Z11" s="8"/>
      <c r="AA11" s="8"/>
      <c r="AG11" s="33"/>
      <c r="AM11" s="33"/>
    </row>
    <row r="12" spans="26:39" ht="24.75" customHeight="1">
      <c r="Z12" s="67"/>
      <c r="AA12" s="67"/>
      <c r="AB12" s="247" t="str">
        <f>IF(gironi!Z28=0,"2° Classificato Girone 2",IF(gironi!Z28&lt;&gt;0,gironi!AV31))</f>
        <v>2° Classificato Girone 2</v>
      </c>
      <c r="AC12" s="247"/>
      <c r="AD12" s="247"/>
      <c r="AE12" s="247"/>
      <c r="AF12" s="73">
        <f>IF(G4="","",IF(G4&lt;&gt;"",Y4))</f>
      </c>
      <c r="AG12" s="34"/>
      <c r="AM12" s="33"/>
    </row>
    <row r="13" ht="24.75" customHeight="1">
      <c r="AM13" s="33"/>
    </row>
    <row r="14" spans="37:39" ht="24.75" customHeight="1">
      <c r="AK14" s="29"/>
      <c r="AM14" s="33"/>
    </row>
    <row r="15" spans="35:39" ht="24.75" customHeight="1">
      <c r="AI15" s="96"/>
      <c r="AJ15" s="96"/>
      <c r="AM15" s="33"/>
    </row>
    <row r="16" spans="34:41" ht="36" customHeight="1">
      <c r="AH16" s="96" t="s">
        <v>65</v>
      </c>
      <c r="AI16" s="74">
        <f>REPT(A8,1)</f>
      </c>
      <c r="AJ16" s="96" t="s">
        <v>66</v>
      </c>
      <c r="AK16" s="74">
        <f>REPT(B8,1)</f>
      </c>
      <c r="AM16" s="33"/>
      <c r="AN16" s="248">
        <f>IF(AL9&lt;AL23,AH23,IF(AL9&gt;AL23,AH9,""))</f>
      </c>
      <c r="AO16" s="247"/>
    </row>
    <row r="17" spans="37:39" ht="18" customHeight="1">
      <c r="AK17" s="30"/>
      <c r="AM17" s="33"/>
    </row>
    <row r="18" ht="24.75" customHeight="1">
      <c r="AM18" s="33"/>
    </row>
    <row r="19" ht="24.75" customHeight="1">
      <c r="AM19" s="33"/>
    </row>
    <row r="20" spans="28:39" ht="24.75" customHeight="1">
      <c r="AB20" s="247" t="str">
        <f>IF(gironi!Z13=0,"2° Classificato Girone 1",IF(gironi!Z13&lt;&gt;0,gironi!AV16))</f>
        <v>2° Classificato Girone 1</v>
      </c>
      <c r="AC20" s="247"/>
      <c r="AD20" s="247"/>
      <c r="AE20" s="247"/>
      <c r="AF20" s="73">
        <f>IF(G5="","",IF(G5&lt;&gt;"",X5))</f>
      </c>
      <c r="AM20" s="33"/>
    </row>
    <row r="21" spans="33:39" ht="24.75" customHeight="1">
      <c r="AG21" s="35"/>
      <c r="AM21" s="33"/>
    </row>
    <row r="22" spans="29:39" ht="24.75" customHeight="1">
      <c r="AC22" s="96"/>
      <c r="AD22" s="96"/>
      <c r="AG22" s="33"/>
      <c r="AM22" s="33"/>
    </row>
    <row r="23" spans="28:39" ht="24.75" customHeight="1">
      <c r="AB23" s="96" t="s">
        <v>65</v>
      </c>
      <c r="AC23" s="74">
        <f>REPT(A5,1)</f>
      </c>
      <c r="AD23" s="96" t="s">
        <v>66</v>
      </c>
      <c r="AE23" s="74">
        <f>REPT(B5,1)</f>
      </c>
      <c r="AG23" s="33"/>
      <c r="AH23" s="247">
        <f>REPT(F8,1)</f>
      </c>
      <c r="AI23" s="247"/>
      <c r="AJ23" s="247"/>
      <c r="AK23" s="247"/>
      <c r="AL23" s="73">
        <f>IF(G8="","",IF(G8&lt;&gt;"",Y8))</f>
      </c>
      <c r="AM23" s="34"/>
    </row>
    <row r="24" ht="24.75" customHeight="1">
      <c r="AG24" s="33"/>
    </row>
    <row r="25" ht="24.75" customHeight="1">
      <c r="AG25" s="33"/>
    </row>
    <row r="26" spans="28:33" ht="24.75" customHeight="1">
      <c r="AB26" s="247" t="str">
        <f>IF(gironi!Z28=0,"1° Classificato Girone 2",IF(gironi!Z28&lt;&gt;0,gironi!AV30))</f>
        <v>1° Classificato Girone 2</v>
      </c>
      <c r="AC26" s="247"/>
      <c r="AD26" s="247"/>
      <c r="AE26" s="247"/>
      <c r="AF26" s="73">
        <f>IF(G5="","",IF(G5&lt;&gt;"",Y5))</f>
      </c>
      <c r="AG26" s="34"/>
    </row>
    <row r="28" spans="34:36" ht="24.75" customHeight="1">
      <c r="AH28" s="31"/>
      <c r="AI28" s="31"/>
      <c r="AJ28" s="31"/>
    </row>
  </sheetData>
  <sheetProtection password="C78D" sheet="1" objects="1" scenarios="1"/>
  <mergeCells count="26">
    <mergeCell ref="C1:R1"/>
    <mergeCell ref="C3:F3"/>
    <mergeCell ref="C7:F7"/>
    <mergeCell ref="AB1:AQ1"/>
    <mergeCell ref="AB2:AG2"/>
    <mergeCell ref="AH2:AN2"/>
    <mergeCell ref="AB6:AE6"/>
    <mergeCell ref="G7:H7"/>
    <mergeCell ref="I7:J7"/>
    <mergeCell ref="K7:L7"/>
    <mergeCell ref="AB26:AE26"/>
    <mergeCell ref="AB20:AE20"/>
    <mergeCell ref="AN16:AO16"/>
    <mergeCell ref="S2:Y2"/>
    <mergeCell ref="AH9:AK9"/>
    <mergeCell ref="O7:P7"/>
    <mergeCell ref="G3:H3"/>
    <mergeCell ref="M3:N3"/>
    <mergeCell ref="M7:N7"/>
    <mergeCell ref="Q3:R3"/>
    <mergeCell ref="AH23:AK23"/>
    <mergeCell ref="AB12:AE12"/>
    <mergeCell ref="Q7:R7"/>
    <mergeCell ref="I3:J3"/>
    <mergeCell ref="K3:L3"/>
    <mergeCell ref="O3:P3"/>
  </mergeCells>
  <printOptions/>
  <pageMargins left="0.26" right="0.31" top="1" bottom="1" header="0.5" footer="0.5"/>
  <pageSetup horizontalDpi="300" verticalDpi="300" orientation="portrait" paperSize="9" r:id="rId2"/>
  <headerFooter alignWithMargins="0">
    <oddFooter>&amp;C&amp;1#&amp;"TIM Sans"&amp;8&amp;K4472C4TIM - Uso Interno - Tutti i diritti riservati.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"/>
  <sheetViews>
    <sheetView showGridLines="0" view="pageBreakPreview" zoomScale="60" zoomScaleNormal="75" zoomScalePageLayoutView="0" workbookViewId="0" topLeftCell="A1">
      <selection activeCell="X3" sqref="X3:X4"/>
    </sheetView>
  </sheetViews>
  <sheetFormatPr defaultColWidth="9.140625" defaultRowHeight="12.75"/>
  <cols>
    <col min="1" max="1" width="18.57421875" style="7" customWidth="1"/>
    <col min="2" max="2" width="18.7109375" style="7" customWidth="1"/>
    <col min="3" max="8" width="6.7109375" style="7" customWidth="1"/>
    <col min="9" max="10" width="18.7109375" style="7" customWidth="1"/>
    <col min="11" max="16" width="6.7109375" style="7" customWidth="1"/>
    <col min="17" max="18" width="18.7109375" style="7" customWidth="1"/>
    <col min="19" max="24" width="6.7109375" style="7" customWidth="1"/>
    <col min="25" max="16384" width="9.140625" style="7" customWidth="1"/>
  </cols>
  <sheetData>
    <row r="1" spans="1:24" ht="26.2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 t="s">
        <v>0</v>
      </c>
      <c r="J1" s="238"/>
      <c r="K1" s="238"/>
      <c r="L1" s="238"/>
      <c r="M1" s="238"/>
      <c r="N1" s="238"/>
      <c r="O1" s="238"/>
      <c r="P1" s="238"/>
      <c r="Q1" s="238" t="s">
        <v>0</v>
      </c>
      <c r="R1" s="238"/>
      <c r="S1" s="238"/>
      <c r="T1" s="238"/>
      <c r="U1" s="238"/>
      <c r="V1" s="238"/>
      <c r="W1" s="238"/>
      <c r="X1" s="238"/>
    </row>
    <row r="2" spans="1:24" ht="26.2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 t="s">
        <v>1</v>
      </c>
      <c r="J2" s="239"/>
      <c r="K2" s="239"/>
      <c r="L2" s="239"/>
      <c r="M2" s="239"/>
      <c r="N2" s="239"/>
      <c r="O2" s="239"/>
      <c r="P2" s="239"/>
      <c r="Q2" s="239" t="s">
        <v>1</v>
      </c>
      <c r="R2" s="239"/>
      <c r="S2" s="239"/>
      <c r="T2" s="239"/>
      <c r="U2" s="239"/>
      <c r="V2" s="239"/>
      <c r="W2" s="239"/>
      <c r="X2" s="239"/>
    </row>
    <row r="3" spans="1:24" ht="26.25" customHeight="1">
      <c r="A3" s="235" t="str">
        <f>'lista di qualificazione'!A1</f>
        <v>Cat. UNDER 13 M</v>
      </c>
      <c r="B3" s="235"/>
      <c r="C3" s="235"/>
      <c r="D3" s="260"/>
      <c r="E3" s="260"/>
      <c r="F3" s="260"/>
      <c r="G3" s="44" t="s">
        <v>67</v>
      </c>
      <c r="H3" s="46">
        <f>REPT('tabellone eliminazione'!A4,1)</f>
      </c>
      <c r="I3" s="261" t="str">
        <f>A3</f>
        <v>Cat. UNDER 13 M</v>
      </c>
      <c r="J3" s="261"/>
      <c r="K3" s="261"/>
      <c r="L3" s="262"/>
      <c r="M3" s="262"/>
      <c r="N3" s="262"/>
      <c r="O3" s="44" t="s">
        <v>67</v>
      </c>
      <c r="P3" s="46">
        <f>REPT('tabellone eliminazione'!A5,1)</f>
      </c>
      <c r="Q3" s="235" t="str">
        <f>A3</f>
        <v>Cat. UNDER 13 M</v>
      </c>
      <c r="R3" s="235"/>
      <c r="S3" s="235"/>
      <c r="T3" s="260"/>
      <c r="U3" s="260"/>
      <c r="V3" s="260"/>
      <c r="W3" s="44" t="s">
        <v>67</v>
      </c>
      <c r="X3" s="46">
        <f>REPT('tabellone eliminazione'!A8,1)</f>
      </c>
    </row>
    <row r="4" spans="1:24" ht="18" customHeight="1">
      <c r="A4" s="236" t="s">
        <v>61</v>
      </c>
      <c r="B4" s="237"/>
      <c r="C4" s="237"/>
      <c r="D4" s="237"/>
      <c r="E4" s="237"/>
      <c r="F4" s="237"/>
      <c r="G4" s="44" t="s">
        <v>66</v>
      </c>
      <c r="H4" s="47">
        <f>REPT('tabellone eliminazione'!B4,1)</f>
      </c>
      <c r="I4" s="236" t="s">
        <v>62</v>
      </c>
      <c r="J4" s="237"/>
      <c r="K4" s="237"/>
      <c r="L4" s="237"/>
      <c r="M4" s="237"/>
      <c r="N4" s="237"/>
      <c r="O4" s="44" t="s">
        <v>66</v>
      </c>
      <c r="P4" s="47">
        <f>REPT('tabellone eliminazione'!B5,1)</f>
      </c>
      <c r="Q4" s="236" t="s">
        <v>63</v>
      </c>
      <c r="R4" s="237"/>
      <c r="S4" s="237"/>
      <c r="T4" s="237"/>
      <c r="U4" s="237"/>
      <c r="V4" s="237"/>
      <c r="W4" s="44" t="s">
        <v>66</v>
      </c>
      <c r="X4" s="47">
        <f>REPT('tabellone eliminazione'!B8,1)</f>
      </c>
    </row>
    <row r="5" spans="1:24" ht="12">
      <c r="A5" s="257" t="s">
        <v>14</v>
      </c>
      <c r="B5" s="258"/>
      <c r="C5" s="16" t="s">
        <v>22</v>
      </c>
      <c r="D5" s="16" t="s">
        <v>23</v>
      </c>
      <c r="E5" s="16" t="s">
        <v>24</v>
      </c>
      <c r="F5" s="16" t="s">
        <v>25</v>
      </c>
      <c r="G5" s="16" t="s">
        <v>26</v>
      </c>
      <c r="H5" s="17" t="s">
        <v>27</v>
      </c>
      <c r="I5" s="257" t="s">
        <v>14</v>
      </c>
      <c r="J5" s="258"/>
      <c r="K5" s="16" t="s">
        <v>22</v>
      </c>
      <c r="L5" s="16" t="s">
        <v>23</v>
      </c>
      <c r="M5" s="16" t="s">
        <v>24</v>
      </c>
      <c r="N5" s="16" t="s">
        <v>25</v>
      </c>
      <c r="O5" s="16" t="s">
        <v>26</v>
      </c>
      <c r="P5" s="17" t="s">
        <v>27</v>
      </c>
      <c r="Q5" s="257" t="s">
        <v>14</v>
      </c>
      <c r="R5" s="258"/>
      <c r="S5" s="16" t="s">
        <v>22</v>
      </c>
      <c r="T5" s="16" t="s">
        <v>23</v>
      </c>
      <c r="U5" s="16" t="s">
        <v>24</v>
      </c>
      <c r="V5" s="16" t="s">
        <v>25</v>
      </c>
      <c r="W5" s="16" t="s">
        <v>26</v>
      </c>
      <c r="X5" s="17" t="s">
        <v>27</v>
      </c>
    </row>
    <row r="6" spans="1:24" ht="30" customHeight="1">
      <c r="A6" s="259"/>
      <c r="B6" s="259"/>
      <c r="C6" s="18"/>
      <c r="D6" s="18"/>
      <c r="E6" s="18"/>
      <c r="F6" s="18"/>
      <c r="G6" s="18"/>
      <c r="H6" s="18"/>
      <c r="I6" s="259"/>
      <c r="J6" s="259"/>
      <c r="K6" s="18"/>
      <c r="L6" s="18"/>
      <c r="M6" s="18"/>
      <c r="N6" s="18"/>
      <c r="O6" s="18"/>
      <c r="P6" s="18"/>
      <c r="Q6" s="259"/>
      <c r="R6" s="259"/>
      <c r="S6" s="18"/>
      <c r="T6" s="18"/>
      <c r="U6" s="18"/>
      <c r="V6" s="18"/>
      <c r="W6" s="18"/>
      <c r="X6" s="18"/>
    </row>
    <row r="7" spans="1:24" ht="30" customHeight="1">
      <c r="A7" s="230" t="str">
        <f>REPT('tabellone eliminazione'!D4,1)</f>
        <v>1° Classificato Girone 1</v>
      </c>
      <c r="B7" s="231"/>
      <c r="C7" s="19"/>
      <c r="D7" s="19"/>
      <c r="E7" s="20"/>
      <c r="F7" s="21"/>
      <c r="G7" s="21"/>
      <c r="H7" s="22"/>
      <c r="I7" s="230" t="str">
        <f>REPT('tabellone eliminazione'!D5,1)</f>
        <v>2° Classificato Girone 1</v>
      </c>
      <c r="J7" s="231"/>
      <c r="K7" s="19"/>
      <c r="L7" s="19"/>
      <c r="M7" s="20"/>
      <c r="N7" s="21"/>
      <c r="O7" s="21"/>
      <c r="P7" s="22"/>
      <c r="Q7" s="230">
        <f>REPT('tabellone eliminazione'!D8,1)</f>
      </c>
      <c r="R7" s="231"/>
      <c r="S7" s="19"/>
      <c r="T7" s="19"/>
      <c r="U7" s="20"/>
      <c r="V7" s="21"/>
      <c r="W7" s="21"/>
      <c r="X7" s="22"/>
    </row>
    <row r="8" spans="1:24" ht="30" customHeight="1">
      <c r="A8" s="230" t="str">
        <f>REPT('tabellone eliminazione'!F4,1)</f>
        <v>2° Classificato Girone 2</v>
      </c>
      <c r="B8" s="231"/>
      <c r="C8" s="19"/>
      <c r="D8" s="19"/>
      <c r="E8" s="20"/>
      <c r="F8" s="21"/>
      <c r="G8" s="21"/>
      <c r="H8" s="22"/>
      <c r="I8" s="230" t="str">
        <f>REPT('tabellone eliminazione'!F5,1)</f>
        <v>1° Classificato Girone 2</v>
      </c>
      <c r="J8" s="231"/>
      <c r="K8" s="19"/>
      <c r="L8" s="19"/>
      <c r="M8" s="20"/>
      <c r="N8" s="21"/>
      <c r="O8" s="21"/>
      <c r="P8" s="22"/>
      <c r="Q8" s="230">
        <f>REPT('tabellone eliminazione'!F8,1)</f>
      </c>
      <c r="R8" s="231"/>
      <c r="S8" s="19"/>
      <c r="T8" s="19"/>
      <c r="U8" s="20"/>
      <c r="V8" s="21"/>
      <c r="W8" s="21"/>
      <c r="X8" s="22"/>
    </row>
    <row r="9" spans="1:24" ht="30" customHeight="1">
      <c r="A9" s="232" t="s">
        <v>30</v>
      </c>
      <c r="B9" s="232"/>
      <c r="C9" s="256"/>
      <c r="D9" s="256"/>
      <c r="E9" s="256"/>
      <c r="F9" s="256"/>
      <c r="G9" s="256"/>
      <c r="H9" s="256"/>
      <c r="I9" s="232" t="s">
        <v>30</v>
      </c>
      <c r="J9" s="232"/>
      <c r="K9" s="256"/>
      <c r="L9" s="256"/>
      <c r="M9" s="256"/>
      <c r="N9" s="256"/>
      <c r="O9" s="256"/>
      <c r="P9" s="256"/>
      <c r="Q9" s="232" t="s">
        <v>30</v>
      </c>
      <c r="R9" s="232"/>
      <c r="S9" s="256"/>
      <c r="T9" s="256"/>
      <c r="U9" s="256"/>
      <c r="V9" s="256"/>
      <c r="W9" s="256"/>
      <c r="X9" s="256"/>
    </row>
    <row r="10" spans="1:24" ht="30" customHeight="1">
      <c r="A10" s="228" t="s">
        <v>31</v>
      </c>
      <c r="B10" s="228"/>
      <c r="C10" s="229"/>
      <c r="D10" s="229"/>
      <c r="E10" s="229"/>
      <c r="F10" s="229"/>
      <c r="G10" s="229"/>
      <c r="H10" s="229"/>
      <c r="I10" s="228" t="s">
        <v>31</v>
      </c>
      <c r="J10" s="228"/>
      <c r="K10" s="229"/>
      <c r="L10" s="229"/>
      <c r="M10" s="229"/>
      <c r="N10" s="229"/>
      <c r="O10" s="229"/>
      <c r="P10" s="229"/>
      <c r="Q10" s="228" t="s">
        <v>31</v>
      </c>
      <c r="R10" s="228"/>
      <c r="S10" s="229"/>
      <c r="T10" s="229"/>
      <c r="U10" s="229"/>
      <c r="V10" s="229"/>
      <c r="W10" s="229"/>
      <c r="X10" s="229"/>
    </row>
    <row r="11" ht="26.25" customHeight="1"/>
    <row r="12" ht="26.25" customHeight="1"/>
    <row r="13" ht="26.25" customHeight="1"/>
    <row r="14" ht="18" customHeight="1"/>
    <row r="16" ht="30" customHeight="1"/>
    <row r="17" ht="30" customHeight="1"/>
    <row r="18" ht="30" customHeight="1"/>
    <row r="19" ht="30" customHeight="1"/>
    <row r="20" ht="30" customHeight="1"/>
  </sheetData>
  <sheetProtection password="C78D" sheet="1" objects="1" scenarios="1"/>
  <mergeCells count="39">
    <mergeCell ref="A4:F4"/>
    <mergeCell ref="A3:C3"/>
    <mergeCell ref="D3:F3"/>
    <mergeCell ref="A1:H1"/>
    <mergeCell ref="A2:H2"/>
    <mergeCell ref="A7:B7"/>
    <mergeCell ref="A8:B8"/>
    <mergeCell ref="A5:B5"/>
    <mergeCell ref="A6:B6"/>
    <mergeCell ref="A9:B9"/>
    <mergeCell ref="C9:H9"/>
    <mergeCell ref="A10:B10"/>
    <mergeCell ref="C10:H10"/>
    <mergeCell ref="I1:P1"/>
    <mergeCell ref="Q1:X1"/>
    <mergeCell ref="I2:P2"/>
    <mergeCell ref="Q2:X2"/>
    <mergeCell ref="T3:V3"/>
    <mergeCell ref="I3:K3"/>
    <mergeCell ref="L3:N3"/>
    <mergeCell ref="Q3:S3"/>
    <mergeCell ref="K9:P9"/>
    <mergeCell ref="Q9:R9"/>
    <mergeCell ref="I4:N4"/>
    <mergeCell ref="Q4:V4"/>
    <mergeCell ref="I5:J5"/>
    <mergeCell ref="Q5:R5"/>
    <mergeCell ref="I6:J6"/>
    <mergeCell ref="Q6:R6"/>
    <mergeCell ref="S9:X9"/>
    <mergeCell ref="I10:J10"/>
    <mergeCell ref="K10:P10"/>
    <mergeCell ref="Q10:R10"/>
    <mergeCell ref="S10:X10"/>
    <mergeCell ref="I7:J7"/>
    <mergeCell ref="Q7:R7"/>
    <mergeCell ref="I8:J8"/>
    <mergeCell ref="Q8:R8"/>
    <mergeCell ref="I9:J9"/>
  </mergeCells>
  <printOptions/>
  <pageMargins left="0.75" right="0.75" top="1" bottom="1" header="0.5" footer="0.5"/>
  <pageSetup horizontalDpi="300" verticalDpi="300" orientation="landscape" pageOrder="overThenDown" paperSize="11" r:id="rId2"/>
  <headerFooter alignWithMargins="0">
    <oddFooter>&amp;C&amp;1#&amp;"TIM Sans"&amp;8&amp;K4472C4TIM - Uso Interno - Tutti i diritti riservati.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39" customWidth="1"/>
    <col min="2" max="2" width="9.140625" style="40" customWidth="1"/>
    <col min="3" max="3" width="58.7109375" style="39" customWidth="1"/>
    <col min="4" max="16384" width="9.140625" style="39" customWidth="1"/>
  </cols>
  <sheetData>
    <row r="1" ht="15">
      <c r="A1" s="146" t="str">
        <f>'lista di qualificazione'!A1:C1</f>
        <v>Cat. UNDER 13 M</v>
      </c>
    </row>
    <row r="2" spans="1:3" ht="15" customHeight="1">
      <c r="A2" s="263" t="s">
        <v>64</v>
      </c>
      <c r="B2" s="263"/>
      <c r="C2" s="263"/>
    </row>
    <row r="3" spans="1:3" ht="15" customHeight="1">
      <c r="A3" s="146" t="s">
        <v>106</v>
      </c>
      <c r="B3" s="38" t="s">
        <v>34</v>
      </c>
      <c r="C3" s="38" t="s">
        <v>33</v>
      </c>
    </row>
    <row r="5" spans="1:3" ht="15" customHeight="1">
      <c r="A5" s="149" t="s">
        <v>22</v>
      </c>
      <c r="B5" s="147">
        <v>14</v>
      </c>
      <c r="C5" s="75">
        <f>REPT('tabellone eliminazione'!AN16,1)</f>
      </c>
    </row>
    <row r="6" spans="1:3" ht="15" customHeight="1">
      <c r="A6" s="150" t="s">
        <v>23</v>
      </c>
      <c r="B6" s="148">
        <v>10</v>
      </c>
      <c r="C6" s="76">
        <f>IF('tabellone eliminazione'!Q8&lt;'tabellone eliminazione'!R8,'tabellone eliminazione'!D8,IF('tabellone eliminazione'!Q8&gt;'tabellone eliminazione'!R8,'tabellone eliminazione'!F8,""))</f>
      </c>
    </row>
    <row r="7" spans="1:3" ht="15" customHeight="1">
      <c r="A7" s="150" t="s">
        <v>24</v>
      </c>
      <c r="B7" s="148">
        <v>8</v>
      </c>
      <c r="C7" s="76">
        <f>IF('tabellone eliminazione'!Q4&lt;'tabellone eliminazione'!R4,'tabellone eliminazione'!D4,IF('tabellone eliminazione'!Q4&gt;'tabellone eliminazione'!R4,'tabellone eliminazione'!F4,""))</f>
      </c>
    </row>
    <row r="8" spans="1:3" ht="15" customHeight="1">
      <c r="A8" s="150" t="s">
        <v>24</v>
      </c>
      <c r="B8" s="148">
        <v>8</v>
      </c>
      <c r="C8" s="76">
        <f>IF('tabellone eliminazione'!Q5&lt;'tabellone eliminazione'!R5,'tabellone eliminazione'!D5,IF('tabellone eliminazione'!Q5&gt;'tabellone eliminazione'!R5,'tabellone eliminazione'!F5,""))</f>
      </c>
    </row>
    <row r="9" spans="1:3" ht="15" customHeight="1">
      <c r="A9" s="150" t="s">
        <v>26</v>
      </c>
      <c r="B9" s="148">
        <v>6</v>
      </c>
      <c r="C9" s="76" t="str">
        <f>REPT(gironi!A15,1)</f>
        <v>Mineo Marco   -   Tennis Tavolo Coniolo</v>
      </c>
    </row>
    <row r="10" spans="1:3" ht="15" customHeight="1">
      <c r="A10" s="150" t="s">
        <v>26</v>
      </c>
      <c r="B10" s="148">
        <v>6</v>
      </c>
      <c r="C10" s="76" t="str">
        <f>REPT(gironi!A30,1)</f>
        <v>Bettelli Simone   -   Tennis Tavolo Coniolo</v>
      </c>
    </row>
    <row r="11" spans="1:3" ht="15" customHeight="1">
      <c r="A11" s="150" t="s">
        <v>26</v>
      </c>
      <c r="B11" s="148">
        <v>4</v>
      </c>
      <c r="C11" s="100" t="str">
        <f>REPT(gironi!A16,1)</f>
        <v>Lazzaroni Mathias   -   Tennis Tavolo Coniolo</v>
      </c>
    </row>
    <row r="12" spans="1:3" ht="15" customHeight="1">
      <c r="A12" s="151" t="s">
        <v>26</v>
      </c>
      <c r="B12" s="152">
        <v>4</v>
      </c>
      <c r="C12" s="101" t="str">
        <f>REPT(gironi!A31,1)</f>
        <v>Loda Giorgio   -   Tennis Tavolo Coniolo</v>
      </c>
    </row>
  </sheetData>
  <sheetProtection/>
  <mergeCells count="1">
    <mergeCell ref="A2:C2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&amp;C&amp;1#&amp;"TIM Sans"&amp;8&amp;K4472C4TIM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SPORTIVO ITALIANO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Ramazzini Gianfranco</cp:lastModifiedBy>
  <cp:lastPrinted>2005-12-19T11:01:24Z</cp:lastPrinted>
  <dcterms:created xsi:type="dcterms:W3CDTF">2005-10-22T06:41:54Z</dcterms:created>
  <dcterms:modified xsi:type="dcterms:W3CDTF">2021-11-19T10:32:41Z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2021-11-19T10:32:39Z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1ebe4297-9a29-425b-80a4-5def5a3c1837</vt:lpwstr>
  </property>
  <property fmtid="{D5CDD505-2E9C-101B-9397-08002B2CF9AE}" pid="8" name="MSIP_Label_d6986fb0-3baa-42d2-89d5-89f9b25e6ac9_ContentBits">
    <vt:lpwstr>2</vt:lpwstr>
  </property>
</Properties>
</file>